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Web\files\benefits\website\"/>
    </mc:Choice>
  </mc:AlternateContent>
  <xr:revisionPtr revIDLastSave="0" documentId="8_{0C2E6330-E15C-49C3-91EA-ECF73669E29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efore Change" sheetId="1" r:id="rId1"/>
    <sheet name="After Change" sheetId="12" r:id="rId2"/>
    <sheet name="Balance Calculator" sheetId="13" r:id="rId3"/>
    <sheet name="Validation" sheetId="2" state="hidden" r:id="rId4"/>
    <sheet name="Medical" sheetId="3" state="hidden" r:id="rId5"/>
    <sheet name="Tobacco" sheetId="7" state="hidden" r:id="rId6"/>
    <sheet name="Life" sheetId="4" state="hidden" r:id="rId7"/>
    <sheet name="Dental" sheetId="5" state="hidden" r:id="rId8"/>
    <sheet name="Vision" sheetId="6" state="hidden" r:id="rId9"/>
    <sheet name="Wellness" sheetId="11" state="hidden" r:id="rId10"/>
    <sheet name="ADD" sheetId="9" state="hidden" r:id="rId11"/>
    <sheet name="LTD" sheetId="8" state="hidden" r:id="rId12"/>
    <sheet name="DL" sheetId="10" state="hidden" r:id="rId13"/>
  </sheets>
  <definedNames>
    <definedName name="_xlnm._FilterDatabase" localSheetId="1" hidden="1">'After Change'!$A$1:$J$1</definedName>
    <definedName name="_xlnm._FilterDatabase" localSheetId="0" hidden="1">'Before Change'!$A$1:$J$1</definedName>
    <definedName name="_xlnm._FilterDatabase" localSheetId="6" hidden="1">Life!$A$1:$D$49</definedName>
    <definedName name="_xlnm._FilterDatabase" localSheetId="4" hidden="1">Medical!$A$1:$E$99</definedName>
    <definedName name="_xlnm._FilterDatabase" localSheetId="9" hidden="1">Wellness!$A$1:$E$17</definedName>
    <definedName name="ADD">Validation!$A$36:$A$37</definedName>
    <definedName name="ADDLVL">Validation!$C$19:$F$38</definedName>
    <definedName name="ADDLVLS">Validation!$C$19:$C$98</definedName>
    <definedName name="Age">Validation!$C$2:$C$13</definedName>
    <definedName name="Dental">Validation!$A$9:$A$10</definedName>
    <definedName name="DL">Validation!$A$17:$A$19</definedName>
    <definedName name="Medical">Validation!$A$2:$A$6</definedName>
    <definedName name="Multiplier">Validation!$A$22:$A$28</definedName>
    <definedName name="SGIP">Validation!$A$39:$A$41</definedName>
    <definedName name="SPLFA">Validation!$A$43:$A$48</definedName>
    <definedName name="Target">Validation!$A$31:$A$34</definedName>
    <definedName name="Vision">Validation!$A$13</definedName>
    <definedName name="well">Validation!$A$59:$A$62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3" l="1" a="1"/>
  <c r="B12" i="13" s="1"/>
  <c r="G5" i="10"/>
  <c r="H4" i="10"/>
  <c r="H5" i="10"/>
  <c r="G4" i="10"/>
  <c r="H9" i="10"/>
  <c r="G9" i="10"/>
  <c r="C10" i="10"/>
  <c r="H10" i="10" s="1"/>
  <c r="H8" i="10" s="1"/>
  <c r="C3" i="10"/>
  <c r="E34" i="12"/>
  <c r="B10" i="10"/>
  <c r="G10" i="10" s="1"/>
  <c r="G8" i="10" s="1"/>
  <c r="E3" i="10"/>
  <c r="D3" i="10"/>
  <c r="F3" i="10" s="1" a="1"/>
  <c r="F3" i="10" s="1"/>
  <c r="H3" i="10" s="1"/>
  <c r="H2" i="10" l="1"/>
  <c r="G40" i="12" s="1"/>
  <c r="E34" i="1" l="1"/>
  <c r="E43" i="3" l="1"/>
  <c r="E39" i="3"/>
  <c r="E52" i="3" l="1"/>
  <c r="A49" i="12"/>
  <c r="E49" i="3"/>
  <c r="E65" i="3" s="1"/>
  <c r="E45" i="3"/>
  <c r="E61" i="3" s="1"/>
  <c r="E41" i="3"/>
  <c r="E57" i="3" s="1"/>
  <c r="E37" i="3"/>
  <c r="E53" i="3" s="1"/>
  <c r="E99" i="3"/>
  <c r="E95" i="3"/>
  <c r="E91" i="3"/>
  <c r="E87" i="3"/>
  <c r="E51" i="3"/>
  <c r="E67" i="3" s="1"/>
  <c r="E47" i="3"/>
  <c r="E63" i="3" s="1"/>
  <c r="E59" i="3"/>
  <c r="E55" i="3"/>
  <c r="E35" i="3"/>
  <c r="E31" i="3"/>
  <c r="E27" i="3"/>
  <c r="E22" i="3"/>
  <c r="E98" i="3"/>
  <c r="E94" i="3"/>
  <c r="E90" i="3"/>
  <c r="E86" i="3"/>
  <c r="E66" i="3"/>
  <c r="E62" i="3"/>
  <c r="E58" i="3"/>
  <c r="E54" i="3"/>
  <c r="E34" i="3"/>
  <c r="E30" i="3"/>
  <c r="E26" i="3"/>
  <c r="E21" i="3"/>
  <c r="E97" i="3"/>
  <c r="E93" i="3"/>
  <c r="E89" i="3"/>
  <c r="E85" i="3"/>
  <c r="E33" i="3"/>
  <c r="E29" i="3"/>
  <c r="E25" i="3"/>
  <c r="E20" i="3"/>
  <c r="E96" i="3"/>
  <c r="E92" i="3"/>
  <c r="E88" i="3"/>
  <c r="E84" i="3"/>
  <c r="E64" i="3"/>
  <c r="E60" i="3"/>
  <c r="E56" i="3"/>
  <c r="E32" i="3"/>
  <c r="E28" i="3"/>
  <c r="E24" i="3"/>
  <c r="E19" i="3"/>
  <c r="H40" i="12"/>
  <c r="J40" i="12" s="1"/>
  <c r="B14" i="13"/>
  <c r="F1" i="13"/>
  <c r="G1" i="13"/>
  <c r="H1" i="13"/>
  <c r="I1" i="13"/>
  <c r="J1" i="13"/>
  <c r="K1" i="13"/>
  <c r="L1" i="13"/>
  <c r="M1" i="13"/>
  <c r="N1" i="13"/>
  <c r="O1" i="13"/>
  <c r="P1" i="13"/>
  <c r="E1" i="13"/>
  <c r="E46" i="12"/>
  <c r="E45" i="12"/>
  <c r="E37" i="12" a="1"/>
  <c r="E37" i="12" s="1"/>
  <c r="G36" i="12" s="1"/>
  <c r="H36" i="12" s="1"/>
  <c r="I36" i="12" s="1"/>
  <c r="J36" i="12" s="1"/>
  <c r="D8" i="13" s="1"/>
  <c r="E33" i="12"/>
  <c r="F31" i="12"/>
  <c r="D31" i="12" s="1"/>
  <c r="E31" i="12" a="1"/>
  <c r="E31" i="12" s="1"/>
  <c r="E30" i="12"/>
  <c r="G25" i="12" a="1"/>
  <c r="G25" i="12" s="1"/>
  <c r="H25" i="12" s="1"/>
  <c r="I25" i="12" s="1"/>
  <c r="J25" i="12" s="1"/>
  <c r="D5" i="13" s="1"/>
  <c r="G21" i="12" a="1"/>
  <c r="G21" i="12" s="1"/>
  <c r="H21" i="12" s="1"/>
  <c r="I21" i="12" s="1"/>
  <c r="J21" i="12" s="1"/>
  <c r="D4" i="13" s="1"/>
  <c r="E18" i="12"/>
  <c r="E17" i="12"/>
  <c r="E8" i="12"/>
  <c r="O4" i="13" l="1"/>
  <c r="P4" i="13"/>
  <c r="P5" i="13"/>
  <c r="O5" i="13"/>
  <c r="O8" i="13"/>
  <c r="P8" i="13"/>
  <c r="G33" i="12"/>
  <c r="H33" i="12" s="1"/>
  <c r="I33" i="12" s="1"/>
  <c r="J33" i="12" s="1"/>
  <c r="D7" i="13" s="1"/>
  <c r="O7" i="13" s="1"/>
  <c r="D34" i="12"/>
  <c r="G44" i="12"/>
  <c r="H44" i="12" s="1"/>
  <c r="J44" i="12" s="1"/>
  <c r="D9" i="13"/>
  <c r="P9" i="13" s="1"/>
  <c r="G29" i="12"/>
  <c r="H29" i="12" s="1"/>
  <c r="J29" i="12" s="1"/>
  <c r="O9" i="13" l="1"/>
  <c r="P7" i="13"/>
  <c r="D6" i="13"/>
  <c r="F31" i="1"/>
  <c r="D31" i="1" s="1"/>
  <c r="E30" i="1"/>
  <c r="E18" i="1"/>
  <c r="P6" i="13" l="1"/>
  <c r="O6" i="13"/>
  <c r="E17" i="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D3" i="11"/>
  <c r="D2" i="11"/>
  <c r="B3" i="10"/>
  <c r="G3" i="10" s="1"/>
  <c r="E46" i="1"/>
  <c r="E45" i="1"/>
  <c r="E37" i="1" a="1"/>
  <c r="E37" i="1" s="1"/>
  <c r="G36" i="1" s="1"/>
  <c r="H36" i="1" s="1"/>
  <c r="I36" i="1" s="1"/>
  <c r="J36" i="1" s="1"/>
  <c r="G25" i="1" a="1"/>
  <c r="G25" i="1" s="1"/>
  <c r="G2" i="10" l="1"/>
  <c r="G40" i="1" s="1"/>
  <c r="C8" i="13"/>
  <c r="E19" i="1"/>
  <c r="E20" i="1" s="1"/>
  <c r="E19" i="12"/>
  <c r="E20" i="12" s="1"/>
  <c r="G44" i="1"/>
  <c r="H44" i="1" s="1"/>
  <c r="J44" i="1" s="1"/>
  <c r="E33" i="1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2" i="7"/>
  <c r="E16" i="12" s="1"/>
  <c r="E15" i="12" s="1" a="1"/>
  <c r="E15" i="12" s="1"/>
  <c r="E8" i="1"/>
  <c r="E16" i="1" s="1"/>
  <c r="E15" i="1" s="1" a="1"/>
  <c r="E15" i="1" s="1"/>
  <c r="L8" i="13" l="1"/>
  <c r="N8" i="13"/>
  <c r="G8" i="13"/>
  <c r="E8" i="13"/>
  <c r="I8" i="13"/>
  <c r="K8" i="13"/>
  <c r="F8" i="13"/>
  <c r="M8" i="13"/>
  <c r="H8" i="13"/>
  <c r="J8" i="13"/>
  <c r="G15" i="1"/>
  <c r="H15" i="1" s="1"/>
  <c r="J15" i="1" s="1"/>
  <c r="G15" i="12"/>
  <c r="H15" i="12" s="1"/>
  <c r="J15" i="12" s="1"/>
  <c r="G33" i="1"/>
  <c r="H33" i="1" s="1"/>
  <c r="I33" i="1" s="1"/>
  <c r="J33" i="1" s="1"/>
  <c r="G21" i="1" a="1"/>
  <c r="G21" i="1" s="1"/>
  <c r="H21" i="1" s="1"/>
  <c r="I21" i="1" s="1"/>
  <c r="J21" i="1" s="1"/>
  <c r="H25" i="1"/>
  <c r="I25" i="1" s="1"/>
  <c r="J25" i="1" s="1"/>
  <c r="E22" i="13" l="1"/>
  <c r="C5" i="13"/>
  <c r="C7" i="13"/>
  <c r="C3" i="13"/>
  <c r="C4" i="13"/>
  <c r="D3" i="13"/>
  <c r="J48" i="12"/>
  <c r="E31" i="1" a="1"/>
  <c r="E31" i="1" s="1"/>
  <c r="P3" i="13" l="1"/>
  <c r="P11" i="13" s="1"/>
  <c r="O3" i="13"/>
  <c r="J4" i="13"/>
  <c r="E4" i="13"/>
  <c r="L4" i="13"/>
  <c r="N4" i="13"/>
  <c r="G4" i="13"/>
  <c r="K4" i="13"/>
  <c r="F4" i="13"/>
  <c r="M4" i="13"/>
  <c r="H4" i="13"/>
  <c r="E3" i="13"/>
  <c r="M3" i="13"/>
  <c r="L3" i="13"/>
  <c r="K3" i="13"/>
  <c r="N3" i="13"/>
  <c r="J3" i="13"/>
  <c r="I3" i="13"/>
  <c r="H3" i="13"/>
  <c r="G3" i="13"/>
  <c r="F3" i="13"/>
  <c r="E7" i="13"/>
  <c r="L7" i="13"/>
  <c r="N7" i="13"/>
  <c r="G7" i="13"/>
  <c r="J7" i="13"/>
  <c r="I7" i="13"/>
  <c r="K7" i="13"/>
  <c r="F7" i="13"/>
  <c r="M7" i="13"/>
  <c r="H7" i="13"/>
  <c r="J5" i="13"/>
  <c r="E5" i="13"/>
  <c r="L5" i="13"/>
  <c r="N5" i="13"/>
  <c r="G5" i="13"/>
  <c r="I5" i="13"/>
  <c r="K5" i="13"/>
  <c r="F5" i="13"/>
  <c r="M5" i="13"/>
  <c r="H5" i="13"/>
  <c r="I4" i="13"/>
  <c r="D11" i="13"/>
  <c r="G29" i="1"/>
  <c r="H29" i="1" s="1"/>
  <c r="J29" i="1" s="1"/>
  <c r="E19" i="13" l="1"/>
  <c r="E18" i="13"/>
  <c r="E21" i="13"/>
  <c r="C6" i="13"/>
  <c r="E17" i="13"/>
  <c r="H40" i="1"/>
  <c r="J40" i="1" s="1"/>
  <c r="J6" i="13" l="1"/>
  <c r="E6" i="13"/>
  <c r="L6" i="13"/>
  <c r="N6" i="13"/>
  <c r="G6" i="13"/>
  <c r="I6" i="13"/>
  <c r="K6" i="13"/>
  <c r="F6" i="13"/>
  <c r="M6" i="13"/>
  <c r="H6" i="13"/>
  <c r="C9" i="13"/>
  <c r="J48" i="1"/>
  <c r="N9" i="13" l="1"/>
  <c r="N11" i="13" s="1"/>
  <c r="G9" i="13"/>
  <c r="G11" i="13" s="1"/>
  <c r="I9" i="13"/>
  <c r="I11" i="13" s="1"/>
  <c r="L9" i="13"/>
  <c r="L11" i="13" s="1"/>
  <c r="K9" i="13"/>
  <c r="K11" i="13" s="1"/>
  <c r="M9" i="13"/>
  <c r="M11" i="13" s="1"/>
  <c r="F9" i="13"/>
  <c r="F11" i="13" s="1"/>
  <c r="H9" i="13"/>
  <c r="H11" i="13" s="1"/>
  <c r="J9" i="13"/>
  <c r="J11" i="13" s="1"/>
  <c r="E9" i="13"/>
  <c r="E11" i="13" s="1"/>
  <c r="O11" i="13"/>
  <c r="C11" i="13"/>
  <c r="E20" i="13"/>
  <c r="E23" i="13" l="1"/>
  <c r="E15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tc={7B5BC4BD-11D9-49AF-B517-6CB00CDFAB5C}</author>
  </authors>
  <commentList>
    <comment ref="J48" authorId="0" shapeId="0" xr:uid="{7B5BC4BD-11D9-49AF-B517-6CB00CDFAB5C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match monthly premium in Workday prior to change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tc={032E8707-FE47-4A50-B580-5D8D2F48FA95}</author>
  </authors>
  <commentList>
    <comment ref="J48" authorId="0" shapeId="0" xr:uid="{032E8707-FE47-4A50-B580-5D8D2F48FA95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match premium in Workday after change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tc={30B74A77-0457-49ED-92D7-104034E808A9}</author>
    <author>tc={C75A0AF4-AF49-4E7F-BC34-57934A0694A6}</author>
    <author>tc={18235F53-CCEE-4EDE-A97B-C3A7F4F4DED3}</author>
  </authors>
  <commentList>
    <comment ref="A14" authorId="0" shapeId="0" xr:uid="{30B74A77-0457-49ED-92D7-104034E808A9}">
      <text>
        <t>[Threaded comment]
Your version of Excel allows you to read this threaded comment; however, any edits to it will get removed if the file is opened in a newer version of Excel. Learn more: https://go.microsoft.com/fwlink/?linkid=870924
Comment:
    Example: If coverage ends 1/31, you would select February.</t>
      </text>
    </comment>
    <comment ref="A15" authorId="1" shapeId="0" xr:uid="{C75A0AF4-AF49-4E7F-BC34-57934A0694A6}">
      <text>
        <t>[Threaded comment]
Your version of Excel allows you to read this threaded comment; however, any edits to it will get removed if the file is opened in a newer version of Excel. Learn more: https://go.microsoft.com/fwlink/?linkid=870924
Comment:
    Example: Employee coverage ends 1/31 and change was entered timely. Employee was deducted on 5 pay periods (Sept, Oct, Nov, Dec, Jan)</t>
      </text>
    </comment>
    <comment ref="E15" authorId="2" shapeId="0" xr:uid="{18235F53-CCEE-4EDE-A97B-C3A7F4F4DED3}">
      <text>
        <t>[Threaded comment]
Your version of Excel allows you to read this threaded comment; however, any edits to it will get removed if the file is opened in a newer version of Excel. Learn more: https://go.microsoft.com/fwlink/?linkid=870924
Comment:
    Does not include adjustments for spending account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tc={681D63E5-3295-42D7-BE65-A0138EF747CB}</author>
    <author>tc={4F912EB5-EEC1-425B-B030-A54EFF0F28E2}</author>
    <author>tc={BE9C446F-8193-4EA1-8D4D-4B47BED6D606}</author>
    <author>tc={FD8B8049-1E99-4F06-8EB0-430C9245F085}</author>
    <author>tc={45B0BBEE-F53C-42E5-B49D-556428484F14}</author>
    <author>tc={79D4488C-21F7-4D0A-B824-7CC56CFA24A3}</author>
    <author>tc={4EEEF1B6-D43D-4D23-A3DE-FC8ECCDBB444}</author>
    <author>tc={6C77F646-5208-46A5-8AF0-1AE0B238033A}</author>
    <author>tc={A9A17074-0E65-4B91-B4E0-0A73623A3E6E}</author>
  </authors>
  <commentList>
    <comment ref="E7" authorId="0" shapeId="0" xr:uid="{681D63E5-3295-42D7-BE65-A0138EF747CB}">
      <text>
        <t>[Threaded comment]
Your version of Excel allows you to read this threaded comment; however, any edits to it will get removed if the file is opened in a newer version of Excel. Learn more: https://go.microsoft.com/fwlink/?linkid=870924
Comment:
    Premiums should be entered without wellness surcharge added.</t>
      </text>
    </comment>
    <comment ref="E37" authorId="1" shapeId="0" xr:uid="{4F912EB5-EEC1-425B-B030-A54EFF0F28E2}">
      <text>
        <t>[Threaded comment]
Your version of Excel allows you to read this threaded comment; however, any edits to it will get removed if the file is opened in a newer version of Excel. Learn more: https://go.microsoft.com/fwlink/?linkid=870924
Comment:
    Retirees cannot receive partial GIP. This field matches Full GIP premiums</t>
      </text>
    </comment>
    <comment ref="E39" authorId="2" shapeId="0" xr:uid="{BE9C446F-8193-4EA1-8D4D-4B47BED6D606}">
      <text>
        <t>[Threaded comment]
Your version of Excel allows you to read this threaded comment; however, any edits to it will get removed if the file is opened in a newer version of Excel. Learn more: https://go.microsoft.com/fwlink/?linkid=870924
Comment:
    Partial and Full GIP premiums are the same for Grad Plan</t>
      </text>
    </comment>
    <comment ref="E41" authorId="3" shapeId="0" xr:uid="{FD8B8049-1E99-4F06-8EB0-430C9245F085}">
      <text>
        <t>[Threaded comment]
Your version of Excel allows you to read this threaded comment; however, any edits to it will get removed if the file is opened in a newer version of Excel. Learn more: https://go.microsoft.com/fwlink/?linkid=870924
Comment:
    Retirees cannot receive partial GIP. This field matches Full GIP premiums</t>
      </text>
    </comment>
    <comment ref="E43" authorId="4" shapeId="0" xr:uid="{45B0BBEE-F53C-42E5-B49D-556428484F14}">
      <text>
        <t>[Threaded comment]
Your version of Excel allows you to read this threaded comment; however, any edits to it will get removed if the file is opened in a newer version of Excel. Learn more: https://go.microsoft.com/fwlink/?linkid=870924
Comment:
    Partial and Full GIP premiums are the same for Grad Plan</t>
      </text>
    </comment>
    <comment ref="E45" authorId="5" shapeId="0" xr:uid="{79D4488C-21F7-4D0A-B824-7CC56CFA24A3}">
      <text>
        <t>[Threaded comment]
Your version of Excel allows you to read this threaded comment; however, any edits to it will get removed if the file is opened in a newer version of Excel. Learn more: https://go.microsoft.com/fwlink/?linkid=870924
Comment:
    Retirees cannot receive partial GIP. This field matches Full GIP premiums</t>
      </text>
    </comment>
    <comment ref="E47" authorId="6" shapeId="0" xr:uid="{4EEEF1B6-D43D-4D23-A3DE-FC8ECCDBB444}">
      <text>
        <t>[Threaded comment]
Your version of Excel allows you to read this threaded comment; however, any edits to it will get removed if the file is opened in a newer version of Excel. Learn more: https://go.microsoft.com/fwlink/?linkid=870924
Comment:
    Partial and Full GIP premiums are the same for Grad Plan</t>
      </text>
    </comment>
    <comment ref="E49" authorId="7" shapeId="0" xr:uid="{6C77F646-5208-46A5-8AF0-1AE0B238033A}">
      <text>
        <t>[Threaded comment]
Your version of Excel allows you to read this threaded comment; however, any edits to it will get removed if the file is opened in a newer version of Excel. Learn more: https://go.microsoft.com/fwlink/?linkid=870924
Comment:
    Retirees cannot receive partial GIP. This field matches Full GIP premiums</t>
      </text>
    </comment>
    <comment ref="E51" authorId="8" shapeId="0" xr:uid="{A9A17074-0E65-4B91-B4E0-0A73623A3E6E}">
      <text>
        <t>[Threaded comment]
Your version of Excel allows you to read this threaded comment; however, any edits to it will get removed if the file is opened in a newer version of Excel. Learn more: https://go.microsoft.com/fwlink/?linkid=870924
Comment:
    Partial and Full GIP premiums are the same for Grad Plan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<sst xmlns="http://schemas.openxmlformats.org/spreadsheetml/2006/main" count="988" uniqueCount="148">
  <si>
    <t>FY2027 Benefit Premiums Before Change</t>
  </si>
  <si>
    <t>Instructions</t>
  </si>
  <si>
    <t>Enter the EE's benefit information prior to the change.</t>
  </si>
  <si>
    <t>Employee/Retiree Age</t>
  </si>
  <si>
    <t>Under 25</t>
  </si>
  <si>
    <t>If the EE does not have a spouse, you can leave all Spouse related fields as default.</t>
  </si>
  <si>
    <t>Spouse Age</t>
  </si>
  <si>
    <t>Optional Life Salary</t>
  </si>
  <si>
    <t>For Employees, enter both the Optional Life and Benefits salary amounts, even if they are the same.</t>
  </si>
  <si>
    <t>Benefits Salary</t>
  </si>
  <si>
    <t>For Retirees, enter the Retiree OL Amount. This field can be left blank for employees.</t>
  </si>
  <si>
    <t>Retiree OL Amount (if applicable)</t>
  </si>
  <si>
    <t>Are you a tobacco user?</t>
  </si>
  <si>
    <t>No</t>
  </si>
  <si>
    <t>If the EE has Certified other Medical, please select "No - Certified Other" for Medical enrollment</t>
  </si>
  <si>
    <t>Is your spouse a tobacco user?</t>
  </si>
  <si>
    <t>to correctly reflect ER contributions for other coverages.</t>
  </si>
  <si>
    <t>Are you a TAMUS Retiree?</t>
  </si>
  <si>
    <t>Do you participate in the 12 over 9 program?</t>
  </si>
  <si>
    <t>Yes</t>
  </si>
  <si>
    <t>Basic Life and Alternate Basic Life are not included in the calculator because they are always</t>
  </si>
  <si>
    <t>Do you qualify for SGIP?</t>
  </si>
  <si>
    <t>Full SGIP</t>
  </si>
  <si>
    <t>Employer Paid Coverages at no cost to the employee.</t>
  </si>
  <si>
    <t>Enroll in Benefit?</t>
  </si>
  <si>
    <t>Premium</t>
  </si>
  <si>
    <t>Your Monthly Cost</t>
  </si>
  <si>
    <t xml:space="preserve">If the employee is paid bi-weekly, their rate shown here is monthly and will be </t>
  </si>
  <si>
    <t>Medical</t>
  </si>
  <si>
    <t>double what is shown per-paycheck in Workday.</t>
  </si>
  <si>
    <t>Plan</t>
  </si>
  <si>
    <t>A&amp;M Care</t>
  </si>
  <si>
    <t>Tier</t>
  </si>
  <si>
    <t>Employee Only</t>
  </si>
  <si>
    <t>The Balance Calculator tab will not include Spending Account changes.</t>
  </si>
  <si>
    <t>Employee has Wellness Credit?</t>
  </si>
  <si>
    <t>Spouse has Wellness Credit?</t>
  </si>
  <si>
    <t>Dental</t>
  </si>
  <si>
    <t>Dental HMO</t>
  </si>
  <si>
    <t>Vision</t>
  </si>
  <si>
    <t>Superior Vision</t>
  </si>
  <si>
    <t>Optional Life</t>
  </si>
  <si>
    <t>Salary Multiple</t>
  </si>
  <si>
    <t>Amount of Coverage</t>
  </si>
  <si>
    <t>LTD</t>
  </si>
  <si>
    <t>Monthly Benefit</t>
  </si>
  <si>
    <t>Optional AD&amp;D</t>
  </si>
  <si>
    <t>Coverage Amount</t>
  </si>
  <si>
    <t>Level</t>
  </si>
  <si>
    <t>Employee</t>
  </si>
  <si>
    <t>Dependent Life</t>
  </si>
  <si>
    <t>Plan A - Spouse &amp; Child</t>
  </si>
  <si>
    <t>Spouse Life Coverage (if applicable):</t>
  </si>
  <si>
    <t>Spending Account*</t>
  </si>
  <si>
    <t>Health Care Spending Annual Amount</t>
  </si>
  <si>
    <t>Dependent Care Spending Annual Amount</t>
  </si>
  <si>
    <t>Total Monthly Premium</t>
  </si>
  <si>
    <t>Updated July 27, 2026</t>
  </si>
  <si>
    <t>*Calculator will not include spending account premiums.</t>
  </si>
  <si>
    <t>FY2027 Benefit Enrollment - After Change</t>
  </si>
  <si>
    <t>If you are calculating the refund due to someone who is TERMINATING or RETIRING Mid-Year, change all Values to "NO" in column A!</t>
  </si>
  <si>
    <r>
      <t xml:space="preserve">Enter the EE's benefit information after the change. </t>
    </r>
    <r>
      <rPr>
        <b/>
        <sz val="12"/>
        <color theme="1"/>
        <rFont val="Calibri"/>
        <family val="2"/>
        <scheme val="minor"/>
      </rPr>
      <t>If the employee is TERMINATING or RETIRING Mid-Year, change all valudes to "NO" in Column A</t>
    </r>
  </si>
  <si>
    <t>No SGIP</t>
  </si>
  <si>
    <t>Employee &amp; Family</t>
  </si>
  <si>
    <t>AD&amp;D</t>
  </si>
  <si>
    <t>Before</t>
  </si>
  <si>
    <t>After if 12/9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</si>
  <si>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</si>
  <si>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</si>
  <si>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</si>
  <si>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</si>
  <si>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</si>
  <si>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</si>
  <si>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</si>
  <si>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</si>
  <si>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</si>
  <si>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</si>
  <si>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</si>
  <si>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</si>
  <si>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Leaving 12 over 9?</t>
  </si>
  <si>
    <t>First Month in Which Change is Effective</t>
  </si>
  <si>
    <t>Balance Owed/Due</t>
  </si>
  <si>
    <t>(If positive, refund is due to employee. If negative, the employee owes extra deductions)</t>
  </si>
  <si>
    <t>Number of Payrolls Completed before change was entered?</t>
  </si>
  <si>
    <t>Total</t>
  </si>
  <si>
    <t>Handle Separately*</t>
  </si>
  <si>
    <t>Spending Account</t>
  </si>
  <si>
    <t>* These calculations exclude spending accounts. For questions on what to do with spending accounts, please submit a ticket to SBA (sba-support@tamus.edu)</t>
  </si>
  <si>
    <t>Medical Plans</t>
  </si>
  <si>
    <t>Age</t>
  </si>
  <si>
    <t>A&amp;M Care 65+</t>
  </si>
  <si>
    <t>25-29</t>
  </si>
  <si>
    <t>A&amp;M Care J Plan</t>
  </si>
  <si>
    <t>30-34</t>
  </si>
  <si>
    <t>Graduate Student Health Plan</t>
  </si>
  <si>
    <t>35-39</t>
  </si>
  <si>
    <t>40-44</t>
  </si>
  <si>
    <t>45-49</t>
  </si>
  <si>
    <t>Dental Plans</t>
  </si>
  <si>
    <t>50-54</t>
  </si>
  <si>
    <t>55-59</t>
  </si>
  <si>
    <t>Dental PPO</t>
  </si>
  <si>
    <t>60-64</t>
  </si>
  <si>
    <t>65-69</t>
  </si>
  <si>
    <t>Vision Plans</t>
  </si>
  <si>
    <t>70-74</t>
  </si>
  <si>
    <t>75 &amp; Over</t>
  </si>
  <si>
    <t>Plan A</t>
  </si>
  <si>
    <t>No - Certified Other</t>
  </si>
  <si>
    <t>Plan B</t>
  </si>
  <si>
    <t>Plan C</t>
  </si>
  <si>
    <t>Multiplier</t>
  </si>
  <si>
    <t>Coverage Target</t>
  </si>
  <si>
    <t>Employee &amp; Spouse</t>
  </si>
  <si>
    <t>Employee &amp; Children</t>
  </si>
  <si>
    <t>Family</t>
  </si>
  <si>
    <t>Partial SGIP</t>
  </si>
  <si>
    <t>Plan A - Spouse Only</t>
  </si>
  <si>
    <t>Plan A - Child(ren) Only</t>
  </si>
  <si>
    <t>Plan B - Spouse &amp; Child</t>
  </si>
  <si>
    <t>Plan B - Spouse Only</t>
  </si>
  <si>
    <t>Plan B - Child(ren) only</t>
  </si>
  <si>
    <t>Plan C - Child(ren) Only</t>
  </si>
  <si>
    <t>Plan C - Spouse &amp; Child(ren)</t>
  </si>
  <si>
    <t>Employee has Credit</t>
  </si>
  <si>
    <t>Employee &amp; Spouse have Credit</t>
  </si>
  <si>
    <t>Spouse has Credit</t>
  </si>
  <si>
    <t>Neither Employee nor Spouse has Credit</t>
  </si>
  <si>
    <t>Tobacco</t>
  </si>
  <si>
    <t>SGIP</t>
  </si>
  <si>
    <t>Employee Premium</t>
  </si>
  <si>
    <t>Updated/Reviewed Date: 7/14/26</t>
  </si>
  <si>
    <t>Non-Tobacco User</t>
  </si>
  <si>
    <t>Certified Other</t>
  </si>
  <si>
    <t>Tobacco User</t>
  </si>
  <si>
    <t>EMP</t>
  </si>
  <si>
    <t>SPS</t>
  </si>
  <si>
    <t>TIER</t>
  </si>
  <si>
    <t>RESULT</t>
  </si>
  <si>
    <t>Reviewed/Updated: 7/14/26</t>
  </si>
  <si>
    <t>Retiree?</t>
  </si>
  <si>
    <t>Coverage - Before</t>
  </si>
  <si>
    <t>Coverage - After</t>
  </si>
  <si>
    <t>Tobacco Use</t>
  </si>
  <si>
    <t>Rate</t>
  </si>
  <si>
    <t>Premium - Before</t>
  </si>
  <si>
    <t>Premium - After</t>
  </si>
  <si>
    <t>Plan C - Spouse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</si>
</sst>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"/>
    <numFmt numFmtId="166" formatCode="0.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8">
    <xf numFmtId="0" fontId="0" fillId="0" borderId="0" xfId="0"/>
    <xf numFmtId="0" fontId="0" fillId="2" borderId="0" xfId="0" applyFill="1"/>
    <xf numFmtId="164" fontId="0" fillId="0" borderId="0" xfId="1" applyNumberFormat="1" applyFont="1"/>
    <xf numFmtId="0" fontId="2" fillId="0" borderId="0" xfId="0" applyFont="1"/>
    <xf numFmtId="0" fontId="2" fillId="5" borderId="1" xfId="0" applyFont="1" applyFill="1" applyBorder="1" applyAlignment="1" applyProtection="1">
      <alignment horizontal="right"/>
      <protection locked="0"/>
    </xf>
    <xf numFmtId="0" fontId="2" fillId="3" borderId="0" xfId="0" applyFont="1" applyFill="1"/>
    <xf numFmtId="44" fontId="2" fillId="3" borderId="0" xfId="1" applyFont="1" applyFill="1"/>
    <xf numFmtId="44" fontId="3" fillId="0" borderId="0" xfId="1" applyFont="1"/>
    <xf numFmtId="44" fontId="2" fillId="5" borderId="1" xfId="1" applyFont="1" applyFill="1" applyBorder="1" applyAlignment="1" applyProtection="1">
      <alignment horizontal="right"/>
      <protection locked="0"/>
    </xf>
    <xf numFmtId="0" fontId="2" fillId="0" borderId="0" xfId="0" applyFont="1" applyAlignment="1">
      <alignment horizontal="right"/>
    </xf>
    <xf numFmtId="44" fontId="3" fillId="0" borderId="0" xfId="1" applyFont="1" applyAlignment="1">
      <alignment horizontal="right"/>
    </xf>
    <xf numFmtId="0" fontId="2" fillId="5" borderId="1" xfId="0" applyFont="1" applyFill="1" applyBorder="1" applyAlignment="1" applyProtection="1">
      <alignment horizontal="center"/>
      <protection locked="0"/>
    </xf>
    <xf numFmtId="0" fontId="3" fillId="4" borderId="0" xfId="0" applyFont="1" applyFill="1"/>
    <xf numFmtId="0" fontId="2" fillId="4" borderId="0" xfId="0" applyFont="1" applyFill="1" applyAlignment="1">
      <alignment horizontal="right"/>
    </xf>
    <xf numFmtId="44" fontId="2" fillId="4" borderId="0" xfId="1" applyFont="1" applyFill="1"/>
    <xf numFmtId="0" fontId="2" fillId="4" borderId="0" xfId="0" applyFont="1" applyFill="1"/>
    <xf numFmtId="44" fontId="3" fillId="4" borderId="0" xfId="1" applyFont="1" applyFill="1"/>
    <xf numFmtId="0" fontId="3" fillId="0" borderId="0" xfId="0" applyFont="1"/>
    <xf numFmtId="44" fontId="2" fillId="0" borderId="0" xfId="0" applyNumberFormat="1" applyFont="1" applyAlignment="1">
      <alignment horizontal="right"/>
    </xf>
    <xf numFmtId="44" fontId="2" fillId="0" borderId="0" xfId="0" applyNumberFormat="1" applyFont="1"/>
    <xf numFmtId="164" fontId="2" fillId="5" borderId="1" xfId="1" applyNumberFormat="1" applyFont="1" applyFill="1" applyBorder="1" applyAlignment="1" applyProtection="1">
      <alignment horizontal="right"/>
      <protection locked="0"/>
    </xf>
    <xf numFmtId="164" fontId="2" fillId="3" borderId="0" xfId="0" applyNumberFormat="1" applyFont="1" applyFill="1"/>
    <xf numFmtId="0" fontId="4" fillId="6" borderId="0" xfId="0" applyFont="1" applyFill="1" applyAlignment="1">
      <alignment vertical="center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horizontal="right" vertical="center"/>
    </xf>
    <xf numFmtId="44" fontId="6" fillId="6" borderId="0" xfId="1" applyFont="1" applyFill="1" applyAlignment="1">
      <alignment vertical="center"/>
    </xf>
    <xf numFmtId="44" fontId="4" fillId="6" borderId="0" xfId="1" applyFont="1" applyFill="1" applyAlignment="1">
      <alignment vertical="center"/>
    </xf>
    <xf numFmtId="0" fontId="0" fillId="8" borderId="0" xfId="0" applyFill="1"/>
    <xf numFmtId="44" fontId="7" fillId="4" borderId="0" xfId="1" applyFont="1" applyFill="1"/>
    <xf numFmtId="44" fontId="7" fillId="0" borderId="0" xfId="1" applyFont="1"/>
    <xf numFmtId="44" fontId="8" fillId="4" borderId="0" xfId="1" applyFont="1" applyFill="1"/>
    <xf numFmtId="44" fontId="0" fillId="0" borderId="0" xfId="0" applyNumberFormat="1"/>
    <xf numFmtId="44" fontId="0" fillId="0" borderId="0" xfId="1" applyFont="1"/>
    <xf numFmtId="44" fontId="0" fillId="9" borderId="0" xfId="0" applyNumberFormat="1" applyFill="1"/>
    <xf numFmtId="16" fontId="2" fillId="0" borderId="0" xfId="0" applyNumberFormat="1" applyFont="1"/>
    <xf numFmtId="0" fontId="0" fillId="7" borderId="0" xfId="0" applyFill="1" applyProtection="1">
      <protection locked="0"/>
    </xf>
    <xf numFmtId="0" fontId="0" fillId="7" borderId="0" xfId="0" applyFill="1" applyAlignment="1" applyProtection="1">
      <alignment horizontal="left"/>
      <protection locked="0"/>
    </xf>
    <xf numFmtId="0" fontId="10" fillId="0" borderId="0" xfId="0" applyFont="1"/>
    <xf numFmtId="44" fontId="9" fillId="0" borderId="0" xfId="0" applyNumberFormat="1" applyFont="1"/>
    <xf numFmtId="44" fontId="9" fillId="0" borderId="0" xfId="1" applyFont="1" applyFill="1"/>
    <xf numFmtId="0" fontId="9" fillId="0" borderId="0" xfId="0" applyFont="1"/>
    <xf numFmtId="0" fontId="2" fillId="5" borderId="1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4" xfId="0" applyBorder="1"/>
    <xf numFmtId="0" fontId="0" fillId="5" borderId="3" xfId="0" applyFill="1" applyBorder="1"/>
    <xf numFmtId="0" fontId="0" fillId="5" borderId="0" xfId="0" applyFill="1"/>
    <xf numFmtId="0" fontId="0" fillId="5" borderId="3" xfId="0" applyFill="1" applyBorder="1" applyAlignment="1">
      <alignment horizontal="left"/>
    </xf>
    <xf numFmtId="0" fontId="0" fillId="5" borderId="0" xfId="0" applyFill="1" applyAlignment="1" applyProtection="1">
      <alignment horizontal="left"/>
      <protection locked="0"/>
    </xf>
    <xf numFmtId="0" fontId="0" fillId="5" borderId="3" xfId="0" applyFill="1" applyBorder="1" applyAlignment="1" applyProtection="1">
      <alignment horizontal="left"/>
      <protection locked="0"/>
    </xf>
    <xf numFmtId="0" fontId="0" fillId="11" borderId="0" xfId="0" applyFill="1"/>
    <xf numFmtId="0" fontId="0" fillId="11" borderId="0" xfId="0" applyFill="1" applyAlignment="1">
      <alignment horizontal="left"/>
    </xf>
    <xf numFmtId="0" fontId="0" fillId="11" borderId="0" xfId="0" applyFill="1" applyAlignment="1" applyProtection="1">
      <alignment horizontal="left"/>
      <protection locked="0"/>
    </xf>
    <xf numFmtId="0" fontId="0" fillId="12" borderId="0" xfId="0" applyFill="1"/>
    <xf numFmtId="0" fontId="0" fillId="12" borderId="0" xfId="0" applyFill="1" applyAlignment="1">
      <alignment horizontal="left"/>
    </xf>
    <xf numFmtId="0" fontId="0" fillId="12" borderId="0" xfId="0" applyFill="1" applyAlignment="1" applyProtection="1">
      <alignment horizontal="left"/>
      <protection locked="0"/>
    </xf>
    <xf numFmtId="0" fontId="0" fillId="13" borderId="0" xfId="0" applyFill="1"/>
    <xf numFmtId="0" fontId="0" fillId="13" borderId="4" xfId="0" applyFill="1" applyBorder="1" applyAlignment="1">
      <alignment horizontal="left"/>
    </xf>
    <xf numFmtId="0" fontId="0" fillId="13" borderId="4" xfId="0" applyFill="1" applyBorder="1"/>
    <xf numFmtId="0" fontId="0" fillId="13" borderId="2" xfId="0" applyFill="1" applyBorder="1"/>
    <xf numFmtId="0" fontId="0" fillId="13" borderId="4" xfId="0" applyFill="1" applyBorder="1" applyAlignment="1" applyProtection="1">
      <alignment horizontal="left"/>
      <protection locked="0"/>
    </xf>
    <xf numFmtId="0" fontId="0" fillId="13" borderId="2" xfId="0" applyFill="1" applyBorder="1" applyAlignment="1" applyProtection="1">
      <alignment horizontal="left"/>
      <protection locked="0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wrapText="1"/>
    </xf>
    <xf numFmtId="0" fontId="0" fillId="11" borderId="11" xfId="0" applyFill="1" applyBorder="1"/>
    <xf numFmtId="0" fontId="0" fillId="11" borderId="12" xfId="0" applyFill="1" applyBorder="1"/>
    <xf numFmtId="0" fontId="0" fillId="12" borderId="11" xfId="0" applyFill="1" applyBorder="1"/>
    <xf numFmtId="0" fontId="0" fillId="12" borderId="12" xfId="0" applyFill="1" applyBorder="1"/>
    <xf numFmtId="0" fontId="0" fillId="13" borderId="11" xfId="0" applyFill="1" applyBorder="1"/>
    <xf numFmtId="0" fontId="0" fillId="13" borderId="12" xfId="0" applyFill="1" applyBorder="1"/>
    <xf numFmtId="0" fontId="0" fillId="0" borderId="13" xfId="0" applyBorder="1"/>
    <xf numFmtId="0" fontId="0" fillId="0" borderId="14" xfId="0" applyBorder="1"/>
    <xf numFmtId="0" fontId="0" fillId="5" borderId="11" xfId="0" applyFill="1" applyBorder="1"/>
    <xf numFmtId="0" fontId="0" fillId="5" borderId="12" xfId="0" applyFill="1" applyBorder="1"/>
    <xf numFmtId="0" fontId="0" fillId="5" borderId="15" xfId="0" applyFill="1" applyBorder="1"/>
    <xf numFmtId="0" fontId="0" fillId="5" borderId="16" xfId="0" applyFill="1" applyBorder="1"/>
    <xf numFmtId="0" fontId="0" fillId="13" borderId="13" xfId="0" applyFill="1" applyBorder="1"/>
    <xf numFmtId="0" fontId="0" fillId="13" borderId="14" xfId="0" applyFill="1" applyBorder="1"/>
    <xf numFmtId="0" fontId="0" fillId="13" borderId="17" xfId="0" applyFill="1" applyBorder="1"/>
    <xf numFmtId="0" fontId="0" fillId="13" borderId="18" xfId="0" applyFill="1" applyBorder="1"/>
    <xf numFmtId="0" fontId="13" fillId="0" borderId="2" xfId="0" applyFont="1" applyBorder="1"/>
    <xf numFmtId="0" fontId="14" fillId="0" borderId="0" xfId="0" applyFont="1"/>
    <xf numFmtId="165" fontId="0" fillId="0" borderId="0" xfId="1" applyNumberFormat="1" applyFont="1"/>
    <xf numFmtId="166" fontId="0" fillId="0" borderId="0" xfId="1" applyNumberFormat="1" applyFont="1"/>
    <xf numFmtId="0" fontId="0" fillId="14" borderId="11" xfId="0" applyFill="1" applyBorder="1"/>
    <xf numFmtId="0" fontId="0" fillId="14" borderId="0" xfId="0" applyFill="1"/>
    <xf numFmtId="0" fontId="0" fillId="14" borderId="0" xfId="0" applyFill="1" applyAlignment="1">
      <alignment horizontal="left"/>
    </xf>
    <xf numFmtId="0" fontId="0" fillId="14" borderId="12" xfId="0" applyFill="1" applyBorder="1"/>
    <xf numFmtId="0" fontId="0" fillId="15" borderId="11" xfId="0" applyFill="1" applyBorder="1"/>
    <xf numFmtId="0" fontId="0" fillId="15" borderId="0" xfId="0" applyFill="1"/>
    <xf numFmtId="0" fontId="0" fillId="15" borderId="12" xfId="0" applyFill="1" applyBorder="1"/>
    <xf numFmtId="0" fontId="0" fillId="8" borderId="11" xfId="0" applyFill="1" applyBorder="1"/>
    <xf numFmtId="0" fontId="0" fillId="8" borderId="0" xfId="0" applyFill="1" applyAlignment="1" applyProtection="1">
      <alignment horizontal="left"/>
      <protection locked="0"/>
    </xf>
    <xf numFmtId="0" fontId="0" fillId="8" borderId="12" xfId="0" applyFill="1" applyBorder="1"/>
    <xf numFmtId="0" fontId="0" fillId="16" borderId="11" xfId="0" applyFill="1" applyBorder="1"/>
    <xf numFmtId="0" fontId="0" fillId="16" borderId="0" xfId="0" applyFill="1"/>
    <xf numFmtId="0" fontId="0" fillId="16" borderId="12" xfId="0" applyFill="1" applyBorder="1"/>
    <xf numFmtId="0" fontId="0" fillId="8" borderId="0" xfId="0" applyFill="1" applyAlignment="1">
      <alignment horizontal="left"/>
    </xf>
    <xf numFmtId="0" fontId="0" fillId="14" borderId="9" xfId="0" applyFill="1" applyBorder="1"/>
    <xf numFmtId="0" fontId="0" fillId="14" borderId="5" xfId="0" applyFill="1" applyBorder="1"/>
    <xf numFmtId="0" fontId="0" fillId="14" borderId="5" xfId="0" applyFill="1" applyBorder="1" applyAlignment="1">
      <alignment horizontal="left"/>
    </xf>
    <xf numFmtId="0" fontId="0" fillId="14" borderId="10" xfId="0" applyFill="1" applyBorder="1"/>
    <xf numFmtId="0" fontId="0" fillId="14" borderId="15" xfId="0" applyFill="1" applyBorder="1"/>
    <xf numFmtId="0" fontId="0" fillId="14" borderId="3" xfId="0" applyFill="1" applyBorder="1"/>
    <xf numFmtId="0" fontId="0" fillId="14" borderId="16" xfId="0" applyFill="1" applyBorder="1"/>
    <xf numFmtId="0" fontId="0" fillId="15" borderId="0" xfId="0" applyFill="1" applyAlignment="1">
      <alignment horizontal="left"/>
    </xf>
    <xf numFmtId="0" fontId="0" fillId="14" borderId="0" xfId="0" applyFill="1" applyAlignment="1" applyProtection="1">
      <alignment horizontal="left"/>
      <protection locked="0"/>
    </xf>
    <xf numFmtId="0" fontId="0" fillId="16" borderId="0" xfId="0" applyFill="1" applyAlignment="1">
      <alignment horizontal="left"/>
    </xf>
    <xf numFmtId="0" fontId="0" fillId="16" borderId="4" xfId="0" applyFill="1" applyBorder="1" applyAlignment="1">
      <alignment horizontal="left"/>
    </xf>
    <xf numFmtId="0" fontId="0" fillId="16" borderId="13" xfId="0" applyFill="1" applyBorder="1"/>
    <xf numFmtId="0" fontId="0" fillId="16" borderId="4" xfId="0" applyFill="1" applyBorder="1"/>
    <xf numFmtId="0" fontId="0" fillId="16" borderId="14" xfId="0" applyFill="1" applyBorder="1"/>
    <xf numFmtId="0" fontId="0" fillId="16" borderId="17" xfId="0" applyFill="1" applyBorder="1"/>
    <xf numFmtId="0" fontId="0" fillId="16" borderId="2" xfId="0" applyFill="1" applyBorder="1"/>
    <xf numFmtId="0" fontId="0" fillId="16" borderId="2" xfId="0" applyFill="1" applyBorder="1" applyAlignment="1">
      <alignment horizontal="left"/>
    </xf>
    <xf numFmtId="0" fontId="0" fillId="16" borderId="18" xfId="0" applyFill="1" applyBorder="1"/>
    <xf numFmtId="0" fontId="0" fillId="17" borderId="0" xfId="0" applyFill="1"/>
    <xf numFmtId="0" fontId="13" fillId="0" borderId="0" xfId="0" applyFont="1"/>
    <xf numFmtId="0" fontId="0" fillId="13" borderId="0" xfId="0" applyFill="1" applyAlignment="1">
      <alignment horizontal="right"/>
    </xf>
    <xf numFmtId="0" fontId="0" fillId="11" borderId="0" xfId="0" applyFill="1" applyAlignment="1">
      <alignment horizontal="right"/>
    </xf>
    <xf numFmtId="0" fontId="0" fillId="12" borderId="0" xfId="0" applyFill="1" applyAlignment="1">
      <alignment horizontal="right"/>
    </xf>
    <xf numFmtId="44" fontId="13" fillId="0" borderId="2" xfId="0" applyNumberFormat="1" applyFont="1" applyBorder="1"/>
    <xf numFmtId="44" fontId="11" fillId="18" borderId="0" xfId="0" applyNumberFormat="1" applyFont="1" applyFill="1"/>
    <xf numFmtId="0" fontId="2" fillId="18" borderId="0" xfId="0" applyFont="1" applyFill="1"/>
    <xf numFmtId="0" fontId="2" fillId="3" borderId="19" xfId="0" applyFont="1" applyFill="1" applyBorder="1"/>
    <xf numFmtId="0" fontId="2" fillId="3" borderId="20" xfId="0" applyFont="1" applyFill="1" applyBorder="1"/>
    <xf numFmtId="0" fontId="2" fillId="3" borderId="21" xfId="0" applyFont="1" applyFill="1" applyBorder="1"/>
    <xf numFmtId="0" fontId="2" fillId="3" borderId="22" xfId="0" applyFont="1" applyFill="1" applyBorder="1"/>
    <xf numFmtId="0" fontId="2" fillId="3" borderId="23" xfId="0" applyFont="1" applyFill="1" applyBorder="1"/>
    <xf numFmtId="0" fontId="2" fillId="3" borderId="0" xfId="0" applyFont="1" applyFill="1" applyAlignment="1">
      <alignment horizontal="left" vertical="top" wrapText="1"/>
    </xf>
    <xf numFmtId="0" fontId="0" fillId="15" borderId="0" xfId="0" applyFill="1" applyAlignment="1" applyProtection="1">
      <alignment horizontal="left"/>
      <protection locked="0"/>
    </xf>
    <xf numFmtId="0" fontId="0" fillId="16" borderId="4" xfId="0" applyFill="1" applyBorder="1" applyAlignment="1" applyProtection="1">
      <alignment horizontal="left"/>
      <protection locked="0"/>
    </xf>
    <xf numFmtId="0" fontId="0" fillId="16" borderId="2" xfId="0" applyFill="1" applyBorder="1" applyAlignment="1" applyProtection="1">
      <alignment horizontal="left"/>
      <protection locked="0"/>
    </xf>
    <xf numFmtId="0" fontId="5" fillId="6" borderId="0" xfId="0" applyFont="1" applyFill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12" fillId="10" borderId="0" xfId="0" applyFont="1" applyFill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2"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inkman, Vicky" id="{10EDC0CA-9394-4917-921A-308D81CE923C}" userId="S::vbrinkman@tamus.edu::1582f59f-6d9e-4e30-93d8-759d57fd822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48" dT="2025-08-19T14:47:28.82" personId="{10EDC0CA-9394-4917-921A-308D81CE923C}" id="{7B5BC4BD-11D9-49AF-B517-6CB00CDFAB5C}">
    <text>Should match monthly premium in Workday prior to change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J48" dT="2025-08-19T14:47:42.21" personId="{10EDC0CA-9394-4917-921A-308D81CE923C}" id="{032E8707-FE47-4A50-B580-5D8D2F48FA95}">
    <text>Should match premium in Workday after change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14" dT="2025-08-19T14:38:50.64" personId="{10EDC0CA-9394-4917-921A-308D81CE923C}" id="{30B74A77-0457-49ED-92D7-104034E808A9}">
    <text>Example: If coverage ends 1/31, you would select February.</text>
  </threadedComment>
  <threadedComment ref="A15" dT="2025-08-19T14:43:47.06" personId="{10EDC0CA-9394-4917-921A-308D81CE923C}" id="{C75A0AF4-AF49-4E7F-BC34-57934A0694A6}">
    <text>Example: Employee coverage ends 1/31 and change was entered timely. Employee was deducted on 5 pay periods (Sept, Oct, Nov, Dec, Jan)</text>
  </threadedComment>
  <threadedComment ref="E15" dT="2025-08-19T14:51:32.15" personId="{10EDC0CA-9394-4917-921A-308D81CE923C}" id="{18235F53-CCEE-4EDE-A97B-C3A7F4F4DED3}">
    <text>Does not include adjustments for spending account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E7" dT="2026-07-14T14:14:00.93" personId="{10EDC0CA-9394-4917-921A-308D81CE923C}" id="{681D63E5-3295-42D7-BE65-A0138EF747CB}">
    <text>Premiums should be entered without wellness surcharge added.</text>
  </threadedComment>
  <threadedComment ref="E37" dT="2026-07-14T14:31:25.22" personId="{10EDC0CA-9394-4917-921A-308D81CE923C}" id="{4F912EB5-EEC1-425B-B030-A54EFF0F28E2}">
    <text>Retirees cannot receive partial GIP. This field matches Full GIP premiums</text>
  </threadedComment>
  <threadedComment ref="E39" dT="2026-07-14T14:35:50.68" personId="{10EDC0CA-9394-4917-921A-308D81CE923C}" id="{BE9C446F-8193-4EA1-8D4D-4B47BED6D606}">
    <text>Partial and Full GIP premiums are the same for Grad Plan</text>
  </threadedComment>
  <threadedComment ref="E41" dT="2026-07-14T14:32:25.37" personId="{10EDC0CA-9394-4917-921A-308D81CE923C}" id="{FD8B8049-1E99-4F06-8EB0-430C9245F085}">
    <text>Retirees cannot receive partial GIP. This field matches Full GIP premiums</text>
  </threadedComment>
  <threadedComment ref="E43" dT="2026-07-14T14:36:04.06" personId="{10EDC0CA-9394-4917-921A-308D81CE923C}" id="{45B0BBEE-F53C-42E5-B49D-556428484F14}">
    <text>Partial and Full GIP premiums are the same for Grad Plan</text>
  </threadedComment>
  <threadedComment ref="E45" dT="2026-07-14T14:32:37.23" personId="{10EDC0CA-9394-4917-921A-308D81CE923C}" id="{79D4488C-21F7-4D0A-B824-7CC56CFA24A3}">
    <text>Retirees cannot receive partial GIP. This field matches Full GIP premiums</text>
  </threadedComment>
  <threadedComment ref="E47" dT="2026-07-14T14:36:10.21" personId="{10EDC0CA-9394-4917-921A-308D81CE923C}" id="{4EEEF1B6-D43D-4D23-A3DE-FC8ECCDBB444}">
    <text>Partial and Full GIP premiums are the same for Grad Plan</text>
  </threadedComment>
  <threadedComment ref="E49" dT="2026-07-14T14:32:40.39" personId="{10EDC0CA-9394-4917-921A-308D81CE923C}" id="{6C77F646-5208-46A5-8AF0-1AE0B238033A}">
    <text>Retirees cannot receive partial GIP. This field matches Full GIP premiums</text>
  </threadedComment>
  <threadedComment ref="E51" dT="2026-07-14T14:36:16.36" personId="{10EDC0CA-9394-4917-921A-308D81CE923C}" id="{A9A17074-0E65-4B91-B4E0-0A73623A3E6E}">
    <text>Partial and Full GIP premiums are the same for Grad Plan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"/>
  <sheetViews>
    <sheetView tabSelected="1" zoomScaleNormal="100" workbookViewId="0">
      <selection activeCell="M21" sqref="M21"/>
    </sheetView>
  </sheetViews>
  <sheetFormatPr defaultColWidth="9.1796875" defaultRowHeight="15.5" x14ac:dyDescent="0.35"/>
  <cols>
    <col min="1" max="1" width="21.54296875" style="3" customWidth="1"/>
    <col min="2" max="2" width="2" style="3" customWidth="1"/>
    <col min="3" max="3" width="42.81640625" style="3" customWidth="1"/>
    <col min="4" max="4" width="31.26953125" style="9" customWidth="1"/>
    <col min="5" max="5" width="19.1796875" style="5" hidden="1" customWidth="1"/>
    <col min="6" max="6" width="14.81640625" style="3" hidden="1" customWidth="1"/>
    <col min="7" max="9" width="12.54296875" style="6" hidden="1" customWidth="1"/>
    <col min="10" max="10" width="17.81640625" style="7" customWidth="1"/>
    <col min="11" max="11" width="9.1796875" style="3"/>
    <col min="12" max="12" width="1.7265625" style="3" customWidth="1"/>
    <col min="13" max="13" width="95.54296875" style="3" customWidth="1"/>
    <col min="14" max="14" width="1.7265625" style="3" customWidth="1"/>
    <col min="15" max="16384" width="9.1796875" style="3"/>
  </cols>
  <sheetData>
    <row r="1" spans="1:14" ht="24" customHeight="1" thickBot="1" x14ac:dyDescent="0.4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L1" s="134" t="s">
        <v>1</v>
      </c>
      <c r="M1" s="135"/>
      <c r="N1" s="136"/>
    </row>
    <row r="2" spans="1:14" x14ac:dyDescent="0.35">
      <c r="L2" s="124"/>
      <c r="M2" s="5" t="s">
        <v>2</v>
      </c>
      <c r="N2" s="125"/>
    </row>
    <row r="3" spans="1:14" x14ac:dyDescent="0.35">
      <c r="A3" s="3" t="s">
        <v>3</v>
      </c>
      <c r="D3" s="4" t="s">
        <v>4</v>
      </c>
      <c r="L3" s="124"/>
      <c r="M3" s="5" t="s">
        <v>5</v>
      </c>
      <c r="N3" s="125"/>
    </row>
    <row r="4" spans="1:14" x14ac:dyDescent="0.35">
      <c r="A4" s="3" t="s">
        <v>6</v>
      </c>
      <c r="D4" s="4" t="s">
        <v>4</v>
      </c>
      <c r="L4" s="124"/>
      <c r="M4" s="5"/>
      <c r="N4" s="125"/>
    </row>
    <row r="5" spans="1:14" x14ac:dyDescent="0.35">
      <c r="A5" s="3" t="s">
        <v>7</v>
      </c>
      <c r="D5" s="8">
        <v>50000</v>
      </c>
      <c r="L5" s="124"/>
      <c r="M5" s="5" t="s">
        <v>8</v>
      </c>
      <c r="N5" s="125"/>
    </row>
    <row r="6" spans="1:14" x14ac:dyDescent="0.35">
      <c r="A6" s="3" t="s">
        <v>9</v>
      </c>
      <c r="D6" s="8">
        <v>50000</v>
      </c>
      <c r="L6" s="124"/>
      <c r="M6" s="5" t="s">
        <v>10</v>
      </c>
      <c r="N6" s="125"/>
    </row>
    <row r="7" spans="1:14" x14ac:dyDescent="0.35">
      <c r="A7" s="3" t="s">
        <v>11</v>
      </c>
      <c r="D7" s="8">
        <v>0</v>
      </c>
      <c r="L7" s="124"/>
      <c r="M7" s="5"/>
      <c r="N7" s="125"/>
    </row>
    <row r="8" spans="1:14" x14ac:dyDescent="0.35">
      <c r="A8" s="3" t="s">
        <v>12</v>
      </c>
      <c r="D8" s="4" t="s">
        <v>13</v>
      </c>
      <c r="E8" s="5" t="str">
        <f>CONCATENATE(D8,D9,D17)</f>
        <v>NoNoEmployee Only</v>
      </c>
      <c r="L8" s="124"/>
      <c r="M8" s="5" t="s">
        <v>14</v>
      </c>
      <c r="N8" s="125"/>
    </row>
    <row r="9" spans="1:14" x14ac:dyDescent="0.35">
      <c r="A9" s="3" t="s">
        <v>15</v>
      </c>
      <c r="D9" s="4" t="s">
        <v>13</v>
      </c>
      <c r="L9" s="124"/>
      <c r="M9" s="5" t="s">
        <v>16</v>
      </c>
      <c r="N9" s="125"/>
    </row>
    <row r="10" spans="1:14" x14ac:dyDescent="0.35">
      <c r="A10" s="3" t="s">
        <v>17</v>
      </c>
      <c r="D10" s="41" t="s">
        <v>13</v>
      </c>
      <c r="L10" s="124"/>
      <c r="M10" s="5"/>
      <c r="N10" s="125"/>
    </row>
    <row r="11" spans="1:14" x14ac:dyDescent="0.35">
      <c r="A11" s="3" t="s">
        <v>18</v>
      </c>
      <c r="D11" s="41" t="s">
        <v>19</v>
      </c>
      <c r="L11" s="124"/>
      <c r="M11" s="5" t="s">
        <v>20</v>
      </c>
      <c r="N11" s="125"/>
    </row>
    <row r="12" spans="1:14" x14ac:dyDescent="0.35">
      <c r="A12" s="3" t="s">
        <v>21</v>
      </c>
      <c r="D12" s="4" t="s">
        <v>22</v>
      </c>
      <c r="L12" s="124"/>
      <c r="M12" s="5" t="s">
        <v>23</v>
      </c>
      <c r="N12" s="125"/>
    </row>
    <row r="13" spans="1:14" x14ac:dyDescent="0.35">
      <c r="L13" s="124"/>
      <c r="M13" s="5"/>
      <c r="N13" s="125"/>
    </row>
    <row r="14" spans="1:14" x14ac:dyDescent="0.35">
      <c r="A14" s="3" t="s">
        <v>24</v>
      </c>
      <c r="G14" s="6" t="s">
        <v>25</v>
      </c>
      <c r="H14" s="6" t="s">
        <v>25</v>
      </c>
      <c r="J14" s="10" t="s">
        <v>26</v>
      </c>
      <c r="L14" s="124"/>
      <c r="M14" s="5" t="s">
        <v>27</v>
      </c>
      <c r="N14" s="125"/>
    </row>
    <row r="15" spans="1:14" x14ac:dyDescent="0.35">
      <c r="A15" s="11" t="s">
        <v>19</v>
      </c>
      <c r="B15" s="12"/>
      <c r="C15" s="12" t="s">
        <v>28</v>
      </c>
      <c r="D15" s="13"/>
      <c r="E15" s="14">
        <f t="array" ref="E15">INDEX(Medical!E2:E200,MATCH(1,(D16=Medical!A2:A200)*(D17=Medical!B2:B200)*(E16=Medical!C2:C200)*(D12=Medical!D2:D200),0))</f>
        <v>0</v>
      </c>
      <c r="F15" s="15"/>
      <c r="G15" s="14">
        <f>E15+E20</f>
        <v>30</v>
      </c>
      <c r="H15" s="14">
        <f>IF(A15="Yes",G15,0)</f>
        <v>30</v>
      </c>
      <c r="I15" s="14"/>
      <c r="J15" s="16">
        <f>IF($D$11="yes",H15*4/3,H15)</f>
        <v>40</v>
      </c>
      <c r="L15" s="124"/>
      <c r="M15" s="5" t="s">
        <v>29</v>
      </c>
      <c r="N15" s="125"/>
    </row>
    <row r="16" spans="1:14" x14ac:dyDescent="0.35">
      <c r="C16" s="3" t="s">
        <v>30</v>
      </c>
      <c r="D16" s="4" t="s">
        <v>31</v>
      </c>
      <c r="E16" s="5" t="str">
        <f>VLOOKUP(E8,Tobacco!D:E,2,FALSE)</f>
        <v>Non-Tobacco User</v>
      </c>
      <c r="L16" s="124"/>
      <c r="M16" s="5"/>
      <c r="N16" s="125"/>
    </row>
    <row r="17" spans="1:14" x14ac:dyDescent="0.35">
      <c r="C17" s="3" t="s">
        <v>32</v>
      </c>
      <c r="D17" s="4" t="s">
        <v>33</v>
      </c>
      <c r="E17" s="5" t="str">
        <f>CONCATENATE(D18,D19,D17)</f>
        <v>NoNoEmployee Only</v>
      </c>
      <c r="L17" s="124"/>
      <c r="M17" s="5" t="s">
        <v>34</v>
      </c>
      <c r="N17" s="125"/>
    </row>
    <row r="18" spans="1:14" ht="16" thickBot="1" x14ac:dyDescent="0.4">
      <c r="C18" s="3" t="s">
        <v>35</v>
      </c>
      <c r="D18" s="4" t="s">
        <v>13</v>
      </c>
      <c r="E18" s="5" t="str">
        <f>CONCATENATE(D16,D10)</f>
        <v>A&amp;M CareNo</v>
      </c>
      <c r="L18" s="126"/>
      <c r="M18" s="127"/>
      <c r="N18" s="128"/>
    </row>
    <row r="19" spans="1:14" x14ac:dyDescent="0.35">
      <c r="C19" s="3" t="s">
        <v>36</v>
      </c>
      <c r="D19" s="4" t="s">
        <v>13</v>
      </c>
      <c r="E19" s="5">
        <f>VLOOKUP(E17,Wellness!D:E,2,FALSE)</f>
        <v>30</v>
      </c>
    </row>
    <row r="20" spans="1:14" x14ac:dyDescent="0.35">
      <c r="B20" s="17"/>
      <c r="C20" s="17"/>
      <c r="E20" s="5">
        <f>IF(E18="A&amp;M CareNo",E19,0)</f>
        <v>30</v>
      </c>
    </row>
    <row r="21" spans="1:14" x14ac:dyDescent="0.35">
      <c r="A21" s="11" t="s">
        <v>13</v>
      </c>
      <c r="B21" s="12"/>
      <c r="C21" s="12" t="s">
        <v>37</v>
      </c>
      <c r="D21" s="13"/>
      <c r="E21" s="15"/>
      <c r="F21" s="15"/>
      <c r="G21" s="14">
        <f t="array" ref="G21">INDEX(Dental!C2:C35,MATCH(1,(D22=Dental!A2:A35)*(D23=Dental!B2:B35),0))</f>
        <v>21.72</v>
      </c>
      <c r="H21" s="14">
        <f>IF(A21="Yes",G21,0)</f>
        <v>0</v>
      </c>
      <c r="I21" s="28">
        <f>IF($D$11="yes",H21*4/3,H21)</f>
        <v>0</v>
      </c>
      <c r="J21" s="16">
        <f>IF(A15="No - Certified Other",0,I21)</f>
        <v>0</v>
      </c>
    </row>
    <row r="22" spans="1:14" x14ac:dyDescent="0.35">
      <c r="C22" s="3" t="s">
        <v>30</v>
      </c>
      <c r="D22" s="4" t="s">
        <v>38</v>
      </c>
      <c r="I22" s="29"/>
    </row>
    <row r="23" spans="1:14" x14ac:dyDescent="0.35">
      <c r="C23" s="3" t="s">
        <v>32</v>
      </c>
      <c r="D23" s="4" t="s">
        <v>33</v>
      </c>
      <c r="I23" s="29"/>
    </row>
    <row r="24" spans="1:14" x14ac:dyDescent="0.35">
      <c r="I24" s="29"/>
    </row>
    <row r="25" spans="1:14" x14ac:dyDescent="0.35">
      <c r="A25" s="11" t="s">
        <v>13</v>
      </c>
      <c r="B25" s="12"/>
      <c r="C25" s="12" t="s">
        <v>39</v>
      </c>
      <c r="D25" s="13"/>
      <c r="E25" s="15"/>
      <c r="F25" s="15"/>
      <c r="G25" s="14">
        <f t="array" ref="G25">INDEX(Vision!C2:C5,MATCH(1,(D26=Vision!A2:A5)*(D27=Vision!B2:B5),0))</f>
        <v>8.36</v>
      </c>
      <c r="H25" s="14">
        <f>IF(A25="Yes",G25,0)</f>
        <v>0</v>
      </c>
      <c r="I25" s="28">
        <f>IF($D$11="yes",H25*4/3,H25)</f>
        <v>0</v>
      </c>
      <c r="J25" s="16">
        <f>IF(A15="No - Certified Other",0,I25)</f>
        <v>0</v>
      </c>
    </row>
    <row r="26" spans="1:14" x14ac:dyDescent="0.35">
      <c r="C26" s="3" t="s">
        <v>30</v>
      </c>
      <c r="D26" s="4" t="s">
        <v>40</v>
      </c>
      <c r="I26" s="29"/>
    </row>
    <row r="27" spans="1:14" x14ac:dyDescent="0.35">
      <c r="C27" s="3" t="s">
        <v>32</v>
      </c>
      <c r="D27" s="4" t="s">
        <v>33</v>
      </c>
      <c r="I27" s="29"/>
    </row>
    <row r="28" spans="1:14" x14ac:dyDescent="0.35">
      <c r="I28" s="29"/>
    </row>
    <row r="29" spans="1:14" x14ac:dyDescent="0.35">
      <c r="A29" s="11" t="s">
        <v>13</v>
      </c>
      <c r="B29" s="12"/>
      <c r="C29" s="12" t="s">
        <v>41</v>
      </c>
      <c r="D29" s="13"/>
      <c r="E29" s="15"/>
      <c r="F29" s="15"/>
      <c r="G29" s="14">
        <f>F31/1000*E31</f>
        <v>0.89999999999999991</v>
      </c>
      <c r="H29" s="14">
        <f>IF(A29="Yes",G29,0)</f>
        <v>0</v>
      </c>
      <c r="I29" s="28"/>
      <c r="J29" s="16">
        <f>IF($D$11="yes",H29*4/3,H29)</f>
        <v>0</v>
      </c>
    </row>
    <row r="30" spans="1:14" x14ac:dyDescent="0.35">
      <c r="C30" s="3" t="s">
        <v>42</v>
      </c>
      <c r="D30" s="4">
        <v>0.5</v>
      </c>
      <c r="E30" s="5" t="str">
        <f>IF(D8="yes","Tobacco User","Non-Tobacco User")</f>
        <v>Non-Tobacco User</v>
      </c>
      <c r="I30" s="29"/>
    </row>
    <row r="31" spans="1:14" x14ac:dyDescent="0.35">
      <c r="C31" s="3" t="s">
        <v>43</v>
      </c>
      <c r="D31" s="18">
        <f>IF(D10="yes",D7,F31)</f>
        <v>25000</v>
      </c>
      <c r="E31" s="6">
        <f t="array" ref="E31">INDEX(Life!D2:D50,MATCH(1,(D3=Life!A2:A50)*(E30=Life!C2:C50)*(C29=Life!B2:B50),0))</f>
        <v>3.5999999999999997E-2</v>
      </c>
      <c r="F31" s="18">
        <f>MIN(ROUNDDOWN(D30*D5,-3),1000000)</f>
        <v>25000</v>
      </c>
      <c r="I31" s="29"/>
    </row>
    <row r="32" spans="1:14" x14ac:dyDescent="0.35">
      <c r="I32" s="29"/>
    </row>
    <row r="33" spans="1:10" x14ac:dyDescent="0.35">
      <c r="A33" s="11" t="s">
        <v>13</v>
      </c>
      <c r="B33" s="12"/>
      <c r="C33" s="12" t="s">
        <v>44</v>
      </c>
      <c r="D33" s="13"/>
      <c r="E33" s="15">
        <f>VLOOKUP(D8,LTD!A:B,2,FALSE)</f>
        <v>0.17799999999999999</v>
      </c>
      <c r="F33" s="15"/>
      <c r="G33" s="14">
        <f>E34*E33/100</f>
        <v>7.4166666666666661</v>
      </c>
      <c r="H33" s="14">
        <f>IF(A33="Yes",G33,0)</f>
        <v>0</v>
      </c>
      <c r="I33" s="28">
        <f>IF($D$11="yes",H33*4/3,H33)</f>
        <v>0</v>
      </c>
      <c r="J33" s="16">
        <f>IF(A15="No - Certified Other",0,I33)</f>
        <v>0</v>
      </c>
    </row>
    <row r="34" spans="1:10" x14ac:dyDescent="0.35">
      <c r="C34" s="3" t="s">
        <v>45</v>
      </c>
      <c r="D34" s="18">
        <v>0</v>
      </c>
      <c r="E34" s="19">
        <f>MIN(D6/12, 8000)</f>
        <v>4166.666666666667</v>
      </c>
      <c r="I34" s="29"/>
    </row>
    <row r="35" spans="1:10" x14ac:dyDescent="0.35">
      <c r="I35" s="29"/>
    </row>
    <row r="36" spans="1:10" x14ac:dyDescent="0.35">
      <c r="A36" s="11" t="s">
        <v>13</v>
      </c>
      <c r="B36" s="12"/>
      <c r="C36" s="12" t="s">
        <v>46</v>
      </c>
      <c r="D36" s="13"/>
      <c r="E36" s="15"/>
      <c r="F36" s="15"/>
      <c r="G36" s="14">
        <f>E37*D37/10000</f>
        <v>0.1</v>
      </c>
      <c r="H36" s="14">
        <f>IF(A36="Yes",G36,0)</f>
        <v>0</v>
      </c>
      <c r="I36" s="28">
        <f>IF($D$11="yes",H36*4/3,H36)</f>
        <v>0</v>
      </c>
      <c r="J36" s="16">
        <f>IF(A15="No - Certified Other",0,I36)</f>
        <v>0</v>
      </c>
    </row>
    <row r="37" spans="1:10" x14ac:dyDescent="0.35">
      <c r="C37" s="3" t="s">
        <v>47</v>
      </c>
      <c r="D37" s="20">
        <v>10000</v>
      </c>
      <c r="E37" s="6">
        <f t="array" ref="E37">INDEX(ADD!C2:C5,MATCH(1,(D10=ADD!A2:A5)*(D38=ADD!B2:B5),0))</f>
        <v>0.1</v>
      </c>
      <c r="I37" s="29"/>
    </row>
    <row r="38" spans="1:10" x14ac:dyDescent="0.35">
      <c r="C38" s="3" t="s">
        <v>48</v>
      </c>
      <c r="D38" s="4" t="s">
        <v>49</v>
      </c>
      <c r="I38" s="29"/>
    </row>
    <row r="39" spans="1:10" x14ac:dyDescent="0.35">
      <c r="I39" s="29"/>
    </row>
    <row r="40" spans="1:10" x14ac:dyDescent="0.35">
      <c r="A40" s="11" t="s">
        <v>13</v>
      </c>
      <c r="B40" s="12"/>
      <c r="C40" s="12" t="s">
        <v>50</v>
      </c>
      <c r="D40" s="13"/>
      <c r="E40" s="15"/>
      <c r="F40" s="15"/>
      <c r="G40" s="14">
        <f>_xlfn.XLOOKUP(D41,DL!A:A,DL!G:G,0)</f>
        <v>0.57000000000000006</v>
      </c>
      <c r="H40" s="14">
        <f>IF(A40="Yes",G40,0)</f>
        <v>0</v>
      </c>
      <c r="I40" s="14"/>
      <c r="J40" s="16">
        <f>IF($D$11="yes",H40*4/3,H40)</f>
        <v>0</v>
      </c>
    </row>
    <row r="41" spans="1:10" x14ac:dyDescent="0.35">
      <c r="C41" s="3" t="s">
        <v>30</v>
      </c>
      <c r="D41" s="20" t="s">
        <v>51</v>
      </c>
      <c r="I41" s="29"/>
    </row>
    <row r="42" spans="1:10" x14ac:dyDescent="0.35">
      <c r="C42" s="3" t="s">
        <v>52</v>
      </c>
      <c r="D42" s="20">
        <v>0</v>
      </c>
      <c r="I42" s="29"/>
    </row>
    <row r="43" spans="1:10" x14ac:dyDescent="0.35">
      <c r="I43" s="29"/>
    </row>
    <row r="44" spans="1:10" x14ac:dyDescent="0.35">
      <c r="A44" s="11" t="s">
        <v>13</v>
      </c>
      <c r="B44" s="12"/>
      <c r="C44" s="12" t="s">
        <v>53</v>
      </c>
      <c r="D44" s="13"/>
      <c r="E44" s="15"/>
      <c r="F44" s="15"/>
      <c r="G44" s="14">
        <f>E45+E46</f>
        <v>0</v>
      </c>
      <c r="H44" s="14">
        <f>IF(A44="Yes",G44,0)</f>
        <v>0</v>
      </c>
      <c r="I44" s="14"/>
      <c r="J44" s="16">
        <f>IF($D$11="yes",H44*4/3,H44)</f>
        <v>0</v>
      </c>
    </row>
    <row r="45" spans="1:10" x14ac:dyDescent="0.35">
      <c r="C45" s="3" t="s">
        <v>54</v>
      </c>
      <c r="D45" s="20">
        <v>0</v>
      </c>
      <c r="E45" s="21">
        <f>D45/12</f>
        <v>0</v>
      </c>
    </row>
    <row r="46" spans="1:10" x14ac:dyDescent="0.35">
      <c r="C46" s="3" t="s">
        <v>55</v>
      </c>
      <c r="D46" s="20">
        <v>0</v>
      </c>
      <c r="E46" s="21">
        <f>D46/12</f>
        <v>0</v>
      </c>
    </row>
    <row r="48" spans="1:10" ht="19.5" customHeight="1" x14ac:dyDescent="0.35">
      <c r="A48" s="22" t="s">
        <v>56</v>
      </c>
      <c r="B48" s="23"/>
      <c r="C48" s="23"/>
      <c r="D48" s="24"/>
      <c r="E48" s="23"/>
      <c r="F48" s="23"/>
      <c r="G48" s="25"/>
      <c r="H48" s="25"/>
      <c r="I48" s="25"/>
      <c r="J48" s="26">
        <f>J44+J40+I36+I33+J29+I25+I21+J15</f>
        <v>40</v>
      </c>
    </row>
    <row r="49" spans="1:1" x14ac:dyDescent="0.35">
      <c r="A49" s="3" t="s">
        <v>57</v>
      </c>
    </row>
    <row r="50" spans="1:1" x14ac:dyDescent="0.35">
      <c r="A50" s="3" t="s">
        <v>58</v>
      </c>
    </row>
  </sheetData>
  <mergeCells count="2">
    <mergeCell ref="A1:J1"/>
    <mergeCell ref="L1:N1"/>
  </mergeCells>
  <dataValidations count="11">
    <dataValidation type="list" allowBlank="1" showInputMessage="1" showErrorMessage="1" sqref="D17 D23 D27" xr:uid="{00000000-0002-0000-0000-000000000000}">
      <formula1>Target</formula1>
    </dataValidation>
    <dataValidation type="list" allowBlank="1" showInputMessage="1" showErrorMessage="1" sqref="D22" xr:uid="{00000000-0002-0000-0000-000001000000}">
      <formula1>Dental</formula1>
    </dataValidation>
    <dataValidation type="list" allowBlank="1" showInputMessage="1" showErrorMessage="1" sqref="D26" xr:uid="{00000000-0002-0000-0000-000002000000}">
      <formula1>Vision</formula1>
    </dataValidation>
    <dataValidation type="list" allowBlank="1" showInputMessage="1" showErrorMessage="1" sqref="D3:D4" xr:uid="{00000000-0002-0000-0000-000003000000}">
      <formula1>Age</formula1>
    </dataValidation>
    <dataValidation type="list" allowBlank="1" showInputMessage="1" showErrorMessage="1" sqref="D30" xr:uid="{00000000-0002-0000-0000-000004000000}">
      <formula1>Multiplier</formula1>
    </dataValidation>
    <dataValidation type="list" allowBlank="1" showInputMessage="1" showErrorMessage="1" sqref="D38" xr:uid="{00000000-0002-0000-0000-000005000000}">
      <formula1>ADD</formula1>
    </dataValidation>
    <dataValidation type="list" allowBlank="1" showInputMessage="1" showErrorMessage="1" sqref="D37" xr:uid="{00000000-0002-0000-0000-000006000000}">
      <formula1>ADDLVLS</formula1>
    </dataValidation>
    <dataValidation type="whole" allowBlank="1" showInputMessage="1" showErrorMessage="1" errorTitle="Invalid Amount" error="Please Enter an amount less than $3,050" sqref="D45" xr:uid="{00000000-0002-0000-0000-000007000000}">
      <formula1>0</formula1>
      <formula2>3300</formula2>
    </dataValidation>
    <dataValidation type="whole" allowBlank="1" showInputMessage="1" showErrorMessage="1" errorTitle="Invalid Amount" error="Please enter an amount less than $5,000" sqref="D46" xr:uid="{00000000-0002-0000-0000-000008000000}">
      <formula1>0</formula1>
      <formula2>5000</formula2>
    </dataValidation>
    <dataValidation type="list" allowBlank="1" showInputMessage="1" showErrorMessage="1" sqref="D12" xr:uid="{00000000-0002-0000-0000-000009000000}">
      <formula1>SGIP</formula1>
    </dataValidation>
    <dataValidation type="list" allowBlank="1" showInputMessage="1" showErrorMessage="1" sqref="B15 B21 B25 B29 A41:A42 B40:B42 B36 B44" xr:uid="{00000000-0002-0000-0000-00000B000000}">
      <formula1>$C$16:$C$18</formula1>
    </dataValidation>
  </dataValidations>
  <pageMargins left="0.7" right="0.7" top="0.75" bottom="0.75" header="0.3" footer="0.3"/>
  <pageSetup scale="40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C000000}">
          <x14:formula1>
            <xm:f>Validation!$A$2:$A$6</xm:f>
          </x14:formula1>
          <xm:sqref>D16</xm:sqref>
        </x14:dataValidation>
        <x14:dataValidation type="list" allowBlank="1" showInputMessage="1" showErrorMessage="1" xr:uid="{00000000-0002-0000-0000-00000D000000}">
          <x14:formula1>
            <xm:f>Validation!$C$15:$C$17</xm:f>
          </x14:formula1>
          <xm:sqref>A15 D18:D19</xm:sqref>
        </x14:dataValidation>
        <x14:dataValidation type="list" allowBlank="1" showInputMessage="1" showErrorMessage="1" xr:uid="{00000000-0002-0000-0000-00000E000000}">
          <x14:formula1>
            <xm:f>Validation!$A$50:$A$57</xm:f>
          </x14:formula1>
          <xm:sqref>D41</xm:sqref>
        </x14:dataValidation>
        <x14:dataValidation type="list" allowBlank="1" showInputMessage="1" showErrorMessage="1" xr:uid="{00000000-0002-0000-0000-00000F000000}">
          <x14:formula1>
            <xm:f>Validation!$C$15:$C$16</xm:f>
          </x14:formula1>
          <xm:sqref>A29 A21 A25 A33:B33 A36 A40 A44 D8:D11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0"/>
  <sheetViews>
    <sheetView zoomScaleNormal="100" workbookViewId="0">
      <selection activeCell="D12" sqref="D12"/>
    </sheetView>
  </sheetViews>
  <sheetFormatPr defaultColWidth="9.1796875" defaultRowHeight="15.5" x14ac:dyDescent="0.35"/>
  <cols>
    <col min="1" max="1" width="21.54296875" style="3" customWidth="1"/>
    <col min="2" max="2" width="2" style="3" customWidth="1"/>
    <col min="3" max="3" width="42.81640625" style="3" customWidth="1"/>
    <col min="4" max="4" width="24.1796875" style="9" customWidth="1"/>
    <col min="5" max="5" width="19.1796875" style="5" hidden="1" customWidth="1"/>
    <col min="6" max="6" width="14.81640625" style="3" hidden="1" customWidth="1"/>
    <col min="7" max="9" width="12.54296875" style="6" hidden="1" customWidth="1"/>
    <col min="10" max="10" width="17.81640625" style="7" customWidth="1"/>
    <col min="11" max="11" width="9.1796875" style="3"/>
    <col min="12" max="12" width="1.7265625" style="3" customWidth="1"/>
    <col min="13" max="13" width="93.26953125" style="3" customWidth="1"/>
    <col min="14" max="14" width="1.7265625" style="3" customWidth="1"/>
    <col min="15" max="16384" width="9.1796875" style="3"/>
  </cols>
  <sheetData>
    <row r="1" spans="1:14" ht="24" customHeight="1" thickBot="1" x14ac:dyDescent="0.4">
      <c r="A1" s="133" t="s">
        <v>59</v>
      </c>
      <c r="B1" s="133"/>
      <c r="C1" s="133"/>
      <c r="D1" s="133"/>
      <c r="E1" s="133"/>
      <c r="F1" s="133"/>
      <c r="G1" s="133"/>
      <c r="H1" s="133"/>
      <c r="I1" s="133"/>
      <c r="J1" s="133"/>
      <c r="L1" s="134" t="s">
        <v>1</v>
      </c>
      <c r="M1" s="135"/>
      <c r="N1" s="136"/>
    </row>
    <row r="2" spans="1:14" ht="43.5" customHeight="1" x14ac:dyDescent="0.35">
      <c r="A2" s="137" t="s">
        <v>60</v>
      </c>
      <c r="B2" s="137"/>
      <c r="C2" s="137"/>
      <c r="D2" s="137"/>
      <c r="E2" s="137"/>
      <c r="F2" s="137"/>
      <c r="G2" s="137"/>
      <c r="H2" s="137"/>
      <c r="I2" s="137"/>
      <c r="J2" s="137"/>
      <c r="L2" s="124"/>
      <c r="M2" s="129" t="s">
        <v>61</v>
      </c>
      <c r="N2" s="125"/>
    </row>
    <row r="3" spans="1:14" x14ac:dyDescent="0.35">
      <c r="A3" s="3" t="s">
        <v>3</v>
      </c>
      <c r="D3" s="4" t="s">
        <v>4</v>
      </c>
      <c r="L3" s="124"/>
      <c r="M3" s="5" t="s">
        <v>5</v>
      </c>
      <c r="N3" s="125"/>
    </row>
    <row r="4" spans="1:14" x14ac:dyDescent="0.35">
      <c r="A4" s="3" t="s">
        <v>6</v>
      </c>
      <c r="D4" s="4" t="s">
        <v>4</v>
      </c>
      <c r="L4" s="124"/>
      <c r="M4" s="5"/>
      <c r="N4" s="125"/>
    </row>
    <row r="5" spans="1:14" x14ac:dyDescent="0.35">
      <c r="A5" s="3" t="s">
        <v>7</v>
      </c>
      <c r="D5" s="8">
        <v>50000</v>
      </c>
      <c r="L5" s="124"/>
      <c r="M5" s="5" t="s">
        <v>8</v>
      </c>
      <c r="N5" s="125"/>
    </row>
    <row r="6" spans="1:14" x14ac:dyDescent="0.35">
      <c r="A6" s="3" t="s">
        <v>9</v>
      </c>
      <c r="D6" s="8">
        <v>50000</v>
      </c>
      <c r="L6" s="124"/>
      <c r="M6" s="5" t="s">
        <v>10</v>
      </c>
      <c r="N6" s="125"/>
    </row>
    <row r="7" spans="1:14" x14ac:dyDescent="0.35">
      <c r="A7" s="3" t="s">
        <v>11</v>
      </c>
      <c r="D7" s="8">
        <v>0</v>
      </c>
      <c r="L7" s="124"/>
      <c r="M7" s="5"/>
      <c r="N7" s="125"/>
    </row>
    <row r="8" spans="1:14" x14ac:dyDescent="0.35">
      <c r="A8" s="3" t="s">
        <v>12</v>
      </c>
      <c r="D8" s="4" t="s">
        <v>13</v>
      </c>
      <c r="E8" s="5" t="str">
        <f>CONCATENATE(D8,D9,D17)</f>
        <v>NoNoEmployee Only</v>
      </c>
      <c r="L8" s="124"/>
      <c r="M8" s="5" t="s">
        <v>14</v>
      </c>
      <c r="N8" s="125"/>
    </row>
    <row r="9" spans="1:14" x14ac:dyDescent="0.35">
      <c r="A9" s="3" t="s">
        <v>15</v>
      </c>
      <c r="D9" s="4" t="s">
        <v>13</v>
      </c>
      <c r="L9" s="124"/>
      <c r="M9" s="5" t="s">
        <v>16</v>
      </c>
      <c r="N9" s="125"/>
    </row>
    <row r="10" spans="1:14" x14ac:dyDescent="0.35">
      <c r="A10" s="3" t="s">
        <v>17</v>
      </c>
      <c r="D10" s="41" t="s">
        <v>13</v>
      </c>
      <c r="L10" s="124"/>
      <c r="M10" s="5"/>
      <c r="N10" s="125"/>
    </row>
    <row r="11" spans="1:14" x14ac:dyDescent="0.35">
      <c r="A11" s="3" t="s">
        <v>18</v>
      </c>
      <c r="D11" s="41" t="s">
        <v>13</v>
      </c>
      <c r="L11" s="124"/>
      <c r="M11" s="5" t="s">
        <v>20</v>
      </c>
      <c r="N11" s="125"/>
    </row>
    <row r="12" spans="1:14" x14ac:dyDescent="0.35">
      <c r="A12" s="3" t="s">
        <v>21</v>
      </c>
      <c r="D12" s="4" t="s">
        <v>62</v>
      </c>
      <c r="L12" s="124"/>
      <c r="M12" s="5" t="s">
        <v>23</v>
      </c>
      <c r="N12" s="125"/>
    </row>
    <row r="13" spans="1:14" x14ac:dyDescent="0.35">
      <c r="L13" s="124"/>
      <c r="M13" s="5"/>
      <c r="N13" s="125"/>
    </row>
    <row r="14" spans="1:14" x14ac:dyDescent="0.35">
      <c r="A14" s="3" t="s">
        <v>24</v>
      </c>
      <c r="G14" s="6" t="s">
        <v>25</v>
      </c>
      <c r="H14" s="6" t="s">
        <v>25</v>
      </c>
      <c r="J14" s="10" t="s">
        <v>26</v>
      </c>
      <c r="L14" s="124"/>
      <c r="M14" s="5" t="s">
        <v>27</v>
      </c>
      <c r="N14" s="125"/>
    </row>
    <row r="15" spans="1:14" x14ac:dyDescent="0.35">
      <c r="A15" s="11" t="s">
        <v>13</v>
      </c>
      <c r="B15" s="12"/>
      <c r="C15" s="12" t="s">
        <v>28</v>
      </c>
      <c r="D15" s="13"/>
      <c r="E15" s="14">
        <f t="array" ref="E15">INDEX(Medical!E2:E200,MATCH(1,(D16=Medical!A2:A200)*(D17=Medical!B2:B200)*(E16=Medical!C2:C200)*(D12=Medical!D2:D200),0))</f>
        <v>1120</v>
      </c>
      <c r="F15" s="15"/>
      <c r="G15" s="14">
        <f>E15+E20</f>
        <v>1150</v>
      </c>
      <c r="H15" s="14">
        <f>IF(A15="Yes",G15,0)</f>
        <v>0</v>
      </c>
      <c r="I15" s="14"/>
      <c r="J15" s="16">
        <f>IF($D$11="yes",H15*4/3,H15)</f>
        <v>0</v>
      </c>
      <c r="L15" s="124"/>
      <c r="M15" s="5" t="s">
        <v>29</v>
      </c>
      <c r="N15" s="125"/>
    </row>
    <row r="16" spans="1:14" x14ac:dyDescent="0.35">
      <c r="C16" s="3" t="s">
        <v>30</v>
      </c>
      <c r="D16" s="4" t="s">
        <v>31</v>
      </c>
      <c r="E16" s="5" t="str">
        <f>VLOOKUP(E8,Tobacco!D:E,2,FALSE)</f>
        <v>Non-Tobacco User</v>
      </c>
      <c r="L16" s="124"/>
      <c r="M16" s="5"/>
      <c r="N16" s="125"/>
    </row>
    <row r="17" spans="1:14" x14ac:dyDescent="0.35">
      <c r="C17" s="3" t="s">
        <v>32</v>
      </c>
      <c r="D17" s="4" t="s">
        <v>33</v>
      </c>
      <c r="E17" s="5" t="str">
        <f>CONCATENATE(D18,D19,D17)</f>
        <v>NoNoEmployee Only</v>
      </c>
      <c r="L17" s="124"/>
      <c r="M17" s="5" t="s">
        <v>34</v>
      </c>
      <c r="N17" s="125"/>
    </row>
    <row r="18" spans="1:14" ht="16" thickBot="1" x14ac:dyDescent="0.4">
      <c r="C18" s="3" t="s">
        <v>35</v>
      </c>
      <c r="D18" s="4" t="s">
        <v>13</v>
      </c>
      <c r="E18" s="5" t="str">
        <f>CONCATENATE(D16,D10)</f>
        <v>A&amp;M CareNo</v>
      </c>
      <c r="L18" s="126"/>
      <c r="M18" s="127"/>
      <c r="N18" s="128"/>
    </row>
    <row r="19" spans="1:14" x14ac:dyDescent="0.35">
      <c r="C19" s="3" t="s">
        <v>36</v>
      </c>
      <c r="D19" s="4" t="s">
        <v>13</v>
      </c>
      <c r="E19" s="5">
        <f>VLOOKUP(E17,Wellness!D:E,2,FALSE)</f>
        <v>30</v>
      </c>
    </row>
    <row r="20" spans="1:14" x14ac:dyDescent="0.35">
      <c r="B20" s="17"/>
      <c r="C20" s="17"/>
      <c r="E20" s="5">
        <f>IF(E18="A&amp;M CareNo",E19,0)</f>
        <v>30</v>
      </c>
    </row>
    <row r="21" spans="1:14" x14ac:dyDescent="0.35">
      <c r="A21" s="11" t="s">
        <v>13</v>
      </c>
      <c r="B21" s="12"/>
      <c r="C21" s="12" t="s">
        <v>37</v>
      </c>
      <c r="D21" s="13"/>
      <c r="E21" s="15"/>
      <c r="F21" s="15"/>
      <c r="G21" s="14">
        <f t="array" ref="G21">INDEX(Dental!C2:C35,MATCH(1,(D22=Dental!A2:A35)*(D23=Dental!B2:B35),0))</f>
        <v>21.72</v>
      </c>
      <c r="H21" s="14">
        <f>IF(A21="Yes",G21,0)</f>
        <v>0</v>
      </c>
      <c r="I21" s="28">
        <f>IF($D$11="yes",H21*4/3,H21)</f>
        <v>0</v>
      </c>
      <c r="J21" s="16">
        <f>IF(A15="No - Certified Other",0,I21)</f>
        <v>0</v>
      </c>
    </row>
    <row r="22" spans="1:14" x14ac:dyDescent="0.35">
      <c r="C22" s="3" t="s">
        <v>30</v>
      </c>
      <c r="D22" s="4" t="s">
        <v>38</v>
      </c>
      <c r="I22" s="29"/>
    </row>
    <row r="23" spans="1:14" x14ac:dyDescent="0.35">
      <c r="C23" s="3" t="s">
        <v>32</v>
      </c>
      <c r="D23" s="4" t="s">
        <v>33</v>
      </c>
      <c r="I23" s="29"/>
    </row>
    <row r="24" spans="1:14" x14ac:dyDescent="0.35">
      <c r="I24" s="29"/>
    </row>
    <row r="25" spans="1:14" x14ac:dyDescent="0.35">
      <c r="A25" s="11" t="s">
        <v>13</v>
      </c>
      <c r="B25" s="12"/>
      <c r="C25" s="12" t="s">
        <v>39</v>
      </c>
      <c r="D25" s="13"/>
      <c r="E25" s="15"/>
      <c r="F25" s="15"/>
      <c r="G25" s="14">
        <f t="array" ref="G25">INDEX(Vision!C2:C5,MATCH(1,(D26=Vision!A2:A5)*(D27=Vision!B2:B5),0))</f>
        <v>24.44</v>
      </c>
      <c r="H25" s="14">
        <f>IF(A25="Yes",G25,0)</f>
        <v>0</v>
      </c>
      <c r="I25" s="28">
        <f>IF($D$11="yes",H25*4/3,H25)</f>
        <v>0</v>
      </c>
      <c r="J25" s="16">
        <f>IF(A15="No - Certified Other",0,I25)</f>
        <v>0</v>
      </c>
    </row>
    <row r="26" spans="1:14" x14ac:dyDescent="0.35">
      <c r="C26" s="3" t="s">
        <v>30</v>
      </c>
      <c r="D26" s="4" t="s">
        <v>40</v>
      </c>
      <c r="I26" s="29"/>
    </row>
    <row r="27" spans="1:14" x14ac:dyDescent="0.35">
      <c r="C27" s="3" t="s">
        <v>32</v>
      </c>
      <c r="D27" s="4" t="s">
        <v>63</v>
      </c>
      <c r="I27" s="29"/>
    </row>
    <row r="28" spans="1:14" x14ac:dyDescent="0.35">
      <c r="I28" s="29"/>
    </row>
    <row r="29" spans="1:14" x14ac:dyDescent="0.35">
      <c r="A29" s="11" t="s">
        <v>13</v>
      </c>
      <c r="B29" s="12"/>
      <c r="C29" s="12" t="s">
        <v>41</v>
      </c>
      <c r="D29" s="13"/>
      <c r="E29" s="15"/>
      <c r="F29" s="15"/>
      <c r="G29" s="14">
        <f>F31/1000*E31</f>
        <v>0.89999999999999991</v>
      </c>
      <c r="H29" s="14">
        <f>IF(A29="Yes",G29,0)</f>
        <v>0</v>
      </c>
      <c r="I29" s="28"/>
      <c r="J29" s="30">
        <f>IF($D$11="yes",H29*4/3,H29)</f>
        <v>0</v>
      </c>
    </row>
    <row r="30" spans="1:14" x14ac:dyDescent="0.35">
      <c r="C30" s="3" t="s">
        <v>42</v>
      </c>
      <c r="D30" s="4">
        <v>0.5</v>
      </c>
      <c r="E30" s="5" t="str">
        <f>IF(D8="yes","Tobacco User","Non-Tobacco User")</f>
        <v>Non-Tobacco User</v>
      </c>
      <c r="I30" s="29"/>
    </row>
    <row r="31" spans="1:14" x14ac:dyDescent="0.35">
      <c r="C31" s="3" t="s">
        <v>43</v>
      </c>
      <c r="D31" s="18">
        <f>IF(D10="yes",D7,F31)</f>
        <v>25000</v>
      </c>
      <c r="E31" s="6">
        <f t="array" ref="E31">INDEX(Life!D2:D50,MATCH(1,(D3=Life!A2:A50)*(E30=Life!C2:C50)*(C29=Life!B2:B50),0))</f>
        <v>3.5999999999999997E-2</v>
      </c>
      <c r="F31" s="18">
        <f>MIN(ROUNDDOWN(D30*D5,-3),1000000)</f>
        <v>25000</v>
      </c>
      <c r="I31" s="29"/>
    </row>
    <row r="32" spans="1:14" x14ac:dyDescent="0.35">
      <c r="I32" s="29"/>
    </row>
    <row r="33" spans="1:10" x14ac:dyDescent="0.35">
      <c r="A33" s="11" t="s">
        <v>13</v>
      </c>
      <c r="B33" s="12"/>
      <c r="C33" s="12" t="s">
        <v>44</v>
      </c>
      <c r="D33" s="13"/>
      <c r="E33" s="15">
        <f>VLOOKUP(D8,LTD!A:B,2,FALSE)</f>
        <v>0.17799999999999999</v>
      </c>
      <c r="F33" s="15"/>
      <c r="G33" s="14">
        <f>E34*E33/100</f>
        <v>7.4166666666666661</v>
      </c>
      <c r="H33" s="14">
        <f>IF(A33="Yes",G33,0)</f>
        <v>0</v>
      </c>
      <c r="I33" s="28">
        <f>IF($D$11="yes",H33*4/3,H33)</f>
        <v>0</v>
      </c>
      <c r="J33" s="16">
        <f>IF(A15="No - Certified Other",0,I33)</f>
        <v>0</v>
      </c>
    </row>
    <row r="34" spans="1:10" x14ac:dyDescent="0.35">
      <c r="C34" s="3" t="s">
        <v>45</v>
      </c>
      <c r="D34" s="18">
        <f>E34*0.65</f>
        <v>2708.3333333333335</v>
      </c>
      <c r="E34" s="19">
        <f>MIN(D6/12, 8000)</f>
        <v>4166.666666666667</v>
      </c>
      <c r="I34" s="29"/>
    </row>
    <row r="35" spans="1:10" x14ac:dyDescent="0.35">
      <c r="I35" s="29"/>
    </row>
    <row r="36" spans="1:10" x14ac:dyDescent="0.35">
      <c r="A36" s="11" t="s">
        <v>13</v>
      </c>
      <c r="B36" s="12"/>
      <c r="C36" s="12" t="s">
        <v>64</v>
      </c>
      <c r="D36" s="13"/>
      <c r="E36" s="15"/>
      <c r="F36" s="15"/>
      <c r="G36" s="14">
        <f>E37*D37/10000</f>
        <v>0.1</v>
      </c>
      <c r="H36" s="14">
        <f>IF(A36="Yes",G36,0)</f>
        <v>0</v>
      </c>
      <c r="I36" s="28">
        <f>IF($D$11="yes",H36*4/3,H36)</f>
        <v>0</v>
      </c>
      <c r="J36" s="16">
        <f>IF(A15="No - Certified Other",0,I36)</f>
        <v>0</v>
      </c>
    </row>
    <row r="37" spans="1:10" x14ac:dyDescent="0.35">
      <c r="C37" s="3" t="s">
        <v>47</v>
      </c>
      <c r="D37" s="20">
        <v>10000</v>
      </c>
      <c r="E37" s="6">
        <f t="array" ref="E37">INDEX(ADD!C2:C5,MATCH(1,(D10=ADD!A2:A5)*(D38=ADD!B2:B5),0))</f>
        <v>0.1</v>
      </c>
      <c r="I37" s="29"/>
    </row>
    <row r="38" spans="1:10" x14ac:dyDescent="0.35">
      <c r="C38" s="3" t="s">
        <v>48</v>
      </c>
      <c r="D38" s="4" t="s">
        <v>49</v>
      </c>
      <c r="I38" s="29"/>
    </row>
    <row r="39" spans="1:10" x14ac:dyDescent="0.35">
      <c r="I39" s="29"/>
    </row>
    <row r="40" spans="1:10" x14ac:dyDescent="0.35">
      <c r="A40" s="11" t="s">
        <v>13</v>
      </c>
      <c r="B40" s="12"/>
      <c r="C40" s="12" t="s">
        <v>50</v>
      </c>
      <c r="D40" s="13"/>
      <c r="E40" s="15"/>
      <c r="F40" s="15"/>
      <c r="G40" s="14">
        <f>_xlfn.XLOOKUP(D41,DL!A:A,DL!H:H,0)</f>
        <v>0.57000000000000006</v>
      </c>
      <c r="H40" s="14">
        <f>IF(A40="Yes",G40,0)</f>
        <v>0</v>
      </c>
      <c r="I40" s="14"/>
      <c r="J40" s="16">
        <f>IF($D$11="yes",H40*4/3,H40)</f>
        <v>0</v>
      </c>
    </row>
    <row r="41" spans="1:10" x14ac:dyDescent="0.35">
      <c r="C41" s="3" t="s">
        <v>30</v>
      </c>
      <c r="D41" s="20" t="s">
        <v>51</v>
      </c>
      <c r="I41" s="29"/>
    </row>
    <row r="42" spans="1:10" x14ac:dyDescent="0.35">
      <c r="C42" s="3" t="s">
        <v>52</v>
      </c>
      <c r="D42" s="20">
        <v>0</v>
      </c>
      <c r="I42" s="29"/>
    </row>
    <row r="43" spans="1:10" x14ac:dyDescent="0.35">
      <c r="I43" s="29"/>
    </row>
    <row r="44" spans="1:10" x14ac:dyDescent="0.35">
      <c r="A44" s="11" t="s">
        <v>13</v>
      </c>
      <c r="B44" s="12"/>
      <c r="C44" s="12" t="s">
        <v>53</v>
      </c>
      <c r="D44" s="13"/>
      <c r="E44" s="15"/>
      <c r="F44" s="15"/>
      <c r="G44" s="14">
        <f>E45+E46</f>
        <v>0</v>
      </c>
      <c r="H44" s="14">
        <f>IF(A44="Yes",G44,0)</f>
        <v>0</v>
      </c>
      <c r="I44" s="14"/>
      <c r="J44" s="16">
        <f>IF($D$11="yes",H44*4/3,H44)</f>
        <v>0</v>
      </c>
    </row>
    <row r="45" spans="1:10" x14ac:dyDescent="0.35">
      <c r="C45" s="3" t="s">
        <v>54</v>
      </c>
      <c r="D45" s="20">
        <v>0</v>
      </c>
      <c r="E45" s="21">
        <f>D45/12</f>
        <v>0</v>
      </c>
    </row>
    <row r="46" spans="1:10" x14ac:dyDescent="0.35">
      <c r="C46" s="3" t="s">
        <v>55</v>
      </c>
      <c r="D46" s="20">
        <v>0</v>
      </c>
      <c r="E46" s="21">
        <f>D46/12</f>
        <v>0</v>
      </c>
    </row>
    <row r="48" spans="1:10" ht="19.5" customHeight="1" x14ac:dyDescent="0.35">
      <c r="A48" s="22" t="s">
        <v>56</v>
      </c>
      <c r="B48" s="23"/>
      <c r="C48" s="23"/>
      <c r="D48" s="24"/>
      <c r="E48" s="23"/>
      <c r="F48" s="23"/>
      <c r="G48" s="25"/>
      <c r="H48" s="25"/>
      <c r="I48" s="25"/>
      <c r="J48" s="26">
        <f>J44+J40+I36+I33+J29+I25+I21+J15</f>
        <v>0</v>
      </c>
    </row>
    <row r="49" spans="1:1" x14ac:dyDescent="0.35">
      <c r="A49" s="3" t="str">
        <f>'Before Change'!A49</f>
        <v>Updated July 27, 2026</v>
      </c>
    </row>
    <row r="50" spans="1:1" x14ac:dyDescent="0.35">
      <c r="A50" s="3" t="s">
        <v>58</v>
      </c>
    </row>
  </sheetData>
  <mergeCells count="3">
    <mergeCell ref="A1:J1"/>
    <mergeCell ref="A2:J2"/>
    <mergeCell ref="L1:N1"/>
  </mergeCells>
  <dataValidations count="11">
    <dataValidation type="list" allowBlank="1" showInputMessage="1" showErrorMessage="1" sqref="B15 B21 B25 B29 A41:A42 B40:B42 B36 B44" xr:uid="{00000000-0002-0000-0100-000000000000}">
      <formula1>$C$16:$C$18</formula1>
    </dataValidation>
    <dataValidation type="list" allowBlank="1" showInputMessage="1" showErrorMessage="1" sqref="D12" xr:uid="{00000000-0002-0000-0100-000002000000}">
      <formula1>SGIP</formula1>
    </dataValidation>
    <dataValidation type="whole" allowBlank="1" showInputMessage="1" showErrorMessage="1" sqref="D46" xr:uid="{00000000-0002-0000-0100-000003000000}">
      <formula1>0</formula1>
      <formula2>5000</formula2>
    </dataValidation>
    <dataValidation type="whole" allowBlank="1" showInputMessage="1" showErrorMessage="1" sqref="D45" xr:uid="{00000000-0002-0000-0100-000004000000}">
      <formula1>0</formula1>
      <formula2>3300</formula2>
    </dataValidation>
    <dataValidation type="list" allowBlank="1" showInputMessage="1" showErrorMessage="1" sqref="D37" xr:uid="{00000000-0002-0000-0100-000005000000}">
      <formula1>ADDLVLS</formula1>
    </dataValidation>
    <dataValidation type="list" allowBlank="1" showInputMessage="1" showErrorMessage="1" sqref="D38" xr:uid="{00000000-0002-0000-0100-000006000000}">
      <formula1>ADD</formula1>
    </dataValidation>
    <dataValidation type="list" allowBlank="1" showInputMessage="1" showErrorMessage="1" sqref="D30" xr:uid="{00000000-0002-0000-0100-000007000000}">
      <formula1>Multiplier</formula1>
    </dataValidation>
    <dataValidation type="list" allowBlank="1" showInputMessage="1" showErrorMessage="1" sqref="D3:D4" xr:uid="{00000000-0002-0000-0100-000008000000}">
      <formula1>Age</formula1>
    </dataValidation>
    <dataValidation type="list" allowBlank="1" showInputMessage="1" showErrorMessage="1" sqref="D26" xr:uid="{00000000-0002-0000-0100-000009000000}">
      <formula1>Vision</formula1>
    </dataValidation>
    <dataValidation type="list" allowBlank="1" showInputMessage="1" showErrorMessage="1" sqref="D22" xr:uid="{00000000-0002-0000-0100-00000A000000}">
      <formula1>Dental</formula1>
    </dataValidation>
    <dataValidation type="list" allowBlank="1" showInputMessage="1" showErrorMessage="1" sqref="D17 D23 D27" xr:uid="{00000000-0002-0000-0100-00000B000000}">
      <formula1>Target</formula1>
    </dataValidation>
  </dataValidations>
  <pageMargins left="0.7" right="0.7" top="0.75" bottom="0.75" header="0.3" footer="0.3"/>
  <pageSetup scale="4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C000000}">
          <x14:formula1>
            <xm:f>Validation!$C$15:$C$16</xm:f>
          </x14:formula1>
          <xm:sqref>A36 A15 A33:B33 A29 A25 A21 A40 D8:D11 A44</xm:sqref>
        </x14:dataValidation>
        <x14:dataValidation type="list" allowBlank="1" showInputMessage="1" showErrorMessage="1" xr:uid="{00000000-0002-0000-0100-00000D000000}">
          <x14:formula1>
            <xm:f>Validation!$A$50:$A$57</xm:f>
          </x14:formula1>
          <xm:sqref>D41</xm:sqref>
        </x14:dataValidation>
        <x14:dataValidation type="list" allowBlank="1" showInputMessage="1" showErrorMessage="1" xr:uid="{00000000-0002-0000-0100-00000E000000}">
          <x14:formula1>
            <xm:f>Validation!$C$15:$C$17</xm:f>
          </x14:formula1>
          <xm:sqref>D18:D19</xm:sqref>
        </x14:dataValidation>
        <x14:dataValidation type="list" allowBlank="1" showInputMessage="1" showErrorMessage="1" xr:uid="{00000000-0002-0000-0100-00000F000000}">
          <x14:formula1>
            <xm:f>Validation!$A$2:$A$6</xm:f>
          </x14:formula1>
          <xm:sqref>D16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8"/>
  <sheetViews>
    <sheetView topLeftCell="A13" workbookViewId="0">
      <selection activeCell="A12" sqref="A1:XFD12"/>
    </sheetView>
  </sheetViews>
  <sheetFormatPr defaultRowHeight="14.5" x14ac:dyDescent="0.35"/>
  <cols>
    <col min="1" max="1" width="63.453125" customWidth="1"/>
    <col min="2" max="2" width="13.453125" hidden="1" customWidth="1"/>
    <col min="3" max="3" width="16.81640625" customWidth="1"/>
    <col min="4" max="4" width="14.26953125" customWidth="1"/>
    <col min="5" max="5" width="20" customWidth="1"/>
    <col min="6" max="6" width="79.54296875" customWidth="1"/>
    <col min="7" max="7" width="11.54296875" customWidth="1"/>
    <col min="8" max="8" width="12.26953125" customWidth="1"/>
    <col min="9" max="9" width="12.7265625" customWidth="1"/>
    <col min="10" max="10" width="14.7265625" customWidth="1"/>
    <col min="11" max="11" width="10.54296875" bestFit="1" customWidth="1"/>
    <col min="12" max="16" width="9.7265625" bestFit="1" customWidth="1"/>
    <col min="17" max="17" width="14" customWidth="1"/>
  </cols>
  <sheetData>
    <row r="1" spans="1:16" hidden="1" x14ac:dyDescent="0.35">
      <c r="E1">
        <f>VLOOKUP(E2,Validation!$A$64:$B$75,2,FALSE)</f>
        <v>1</v>
      </c>
      <c r="F1">
        <f>VLOOKUP(F2,Validation!$A$64:$B$75,2,FALSE)</f>
        <v>2</v>
      </c>
      <c r="G1">
        <f>VLOOKUP(G2,Validation!$A$64:$B$75,2,FALSE)</f>
        <v>3</v>
      </c>
      <c r="H1">
        <f>VLOOKUP(H2,Validation!$A$64:$B$75,2,FALSE)</f>
        <v>4</v>
      </c>
      <c r="I1">
        <f>VLOOKUP(I2,Validation!$A$64:$B$75,2,FALSE)</f>
        <v>5</v>
      </c>
      <c r="J1">
        <f>VLOOKUP(J2,Validation!$A$64:$B$75,2,FALSE)</f>
        <v>6</v>
      </c>
      <c r="K1">
        <f>VLOOKUP(K2,Validation!$A$64:$B$75,2,FALSE)</f>
        <v>7</v>
      </c>
      <c r="L1">
        <f>VLOOKUP(L2,Validation!$A$64:$B$75,2,FALSE)</f>
        <v>8</v>
      </c>
      <c r="M1">
        <f>VLOOKUP(M2,Validation!$A$64:$B$75,2,FALSE)</f>
        <v>9</v>
      </c>
      <c r="N1">
        <f>VLOOKUP(N2,Validation!$A$64:$B$75,2,FALSE)</f>
        <v>10</v>
      </c>
      <c r="O1">
        <f>VLOOKUP(O2,Validation!$A$64:$B$75,2,FALSE)</f>
        <v>11</v>
      </c>
      <c r="P1">
        <f>VLOOKUP(P2,Validation!$A$64:$B$75,2,FALSE)</f>
        <v>12</v>
      </c>
    </row>
    <row r="2" spans="1:16" ht="15.5" hidden="1" x14ac:dyDescent="0.35">
      <c r="C2" t="s">
        <v>65</v>
      </c>
      <c r="D2" t="s">
        <v>66</v>
      </c>
      <c r="E2" s="34" t="s">
        <v>67</v>
      </c>
      <c r="F2" s="34" t="s">
        <v>68</v>
      </c>
      <c r="G2" t="s">
        <v>69</v>
      </c>
      <c r="H2" s="34" t="s">
        <v>70</v>
      </c>
      <c r="I2" s="34" t="s">
        <v>71</v>
      </c>
      <c r="J2" t="s">
        <v>72</v>
      </c>
      <c r="K2" s="34" t="s">
        <v>73</v>
      </c>
      <c r="L2" s="34" t="s">
        <v>74</v>
      </c>
      <c r="M2" t="s">
        <v>75</v>
      </c>
      <c r="N2" s="34" t="s">
        <v>76</v>
      </c>
      <c r="O2" s="34" t="s">
        <v>77</v>
      </c>
      <c r="P2" s="34" t="s">
        <v>78</v>
      </c>
    </row>
    <row r="3" spans="1:16" ht="15.5" hidden="1" x14ac:dyDescent="0.35">
      <c r="A3" s="17" t="s">
        <v>28</v>
      </c>
      <c r="B3" s="17"/>
      <c r="C3" s="31">
        <f>'Before Change'!J15</f>
        <v>40</v>
      </c>
      <c r="D3" s="31">
        <f>'After Change'!J15</f>
        <v>0</v>
      </c>
      <c r="E3" s="83">
        <f>IF(C$15&gt;=E$1,$C3,$D3)-(IF(B$14&gt;E$1,$C3,$D3)*(IF(B12="Yes",0.75,1)))</f>
        <v>40</v>
      </c>
      <c r="F3" s="82">
        <f>IF(C$15&gt;=F$1,$C3,$D3)-(IF(B$14&gt;F$1,$C3,$D3)*(IF(B12="Yes",0.75,1)))</f>
        <v>0</v>
      </c>
      <c r="G3" s="82">
        <f>IF(C$15&gt;=G$1,$C3,$D3)-(IF(B$14&gt;G$1,$C3,$D3)*(IF(B12="Yes",0.75,1)))</f>
        <v>0</v>
      </c>
      <c r="H3" s="82">
        <f>IF(C$15&gt;=H$1,$C3,$D3)-(IF(B$14&gt;H$1,$C3,$D3)*(IF(B12="Yes",0.75,1)))</f>
        <v>0</v>
      </c>
      <c r="I3" s="82">
        <f>IF(C$15&gt;=I$1,$C3,$D3)-(IF(B$14&gt;I$1,$C3,$D3)*(IF(B12="Yes",0.75,1)))</f>
        <v>0</v>
      </c>
      <c r="J3" s="82">
        <f>IF(C$15&gt;=J$1,$C3,$D3)-(IF(B$14&gt;J$1,$C3,$D3)*(IF(B12="Yes",0.75,1)))</f>
        <v>0</v>
      </c>
      <c r="K3" s="82">
        <f>IF(C$15&gt;=K$1,$C3,$D3)-(IF(B$14&gt;K$1,$C3,$D3)*(IF(B12="Yes",0.75,1)))</f>
        <v>0</v>
      </c>
      <c r="L3" s="82">
        <f>IF(C$15&gt;=L$1,$C3,$D3)-(IF(B$14&gt;L$1,$C3,$D3)*(IF(B12="Yes",0.75,1)))</f>
        <v>0</v>
      </c>
      <c r="M3" s="82">
        <f>IF(C$15&gt;=M$1,$C3,$D3)-(IF(B$14&gt;M$1,$C3,$D3)*(IF(B12="Yes",0.75,1)))</f>
        <v>0</v>
      </c>
      <c r="N3" s="82">
        <f>(IF('Before Change'!D11="Yes",0,(IF(C$15&gt;N$1,$C3,$D3)))-(IF(B$14&gt;N$1,$C3,$D3)*(IF(B12="Yes",0.75,1))))</f>
        <v>0</v>
      </c>
      <c r="O3" s="82">
        <f>(IF('Before Change'!D11="Yes",0,(IF(C$15&gt;O$1,$C3,$D3)))-(IF(B$14&gt;O$1,$C3,$D3)*(IF(B12="Yes",0.75,1))))</f>
        <v>0</v>
      </c>
      <c r="P3" s="82">
        <f>(IF('Before Change'!D11="Yes",0,(IF(C$15&gt;P$1,$C3,$D3)))-(IF(B$14&gt;P$1,$C3,$D3)*(IF(B12="Yes",0.75,1))))</f>
        <v>0</v>
      </c>
    </row>
    <row r="4" spans="1:16" ht="15.5" hidden="1" x14ac:dyDescent="0.35">
      <c r="A4" s="17" t="s">
        <v>37</v>
      </c>
      <c r="B4" s="17"/>
      <c r="C4" s="31">
        <f>'Before Change'!J21</f>
        <v>0</v>
      </c>
      <c r="D4" s="31">
        <f>'After Change'!J21</f>
        <v>0</v>
      </c>
      <c r="E4" s="32">
        <f>ROUND(IF(C$15&gt;=E$1,$C4,$D4)-(IF(B$14&gt;E$1,$C4,$D4)*(IF(B12="Yes",0.75,1))),2)</f>
        <v>0</v>
      </c>
      <c r="F4" s="32">
        <f>IF(C$15&gt;=F$1,$C4,$D4)-(IF(B$14&gt;F$1,$C4,$D4)*(IF(B12="Yes",0.75,1)))</f>
        <v>0</v>
      </c>
      <c r="G4" s="32">
        <f>IF(C$15&gt;=G$1,$C4,$D4)-(IF(B$14&gt;G$1,$C4,$D4)*(IF(B12="Yes",0.75,1)))</f>
        <v>0</v>
      </c>
      <c r="H4" s="32">
        <f>IF(C$15&gt;=H$1,$C4,$D4)-(IF(B$14&gt;H$1,$C4,$D4)*(IF(B12="Yes",0.75,1)))</f>
        <v>0</v>
      </c>
      <c r="I4" s="32">
        <f t="shared" ref="I4" si="0">ROUND(IF(C$15&gt;=I$1,$C4,$D4)-(IF(B$14&gt;I$1,$C4,$D4)*0.75),2)</f>
        <v>0</v>
      </c>
      <c r="J4" s="32">
        <f>IF(C$15&gt;=J$1,$C4,$D4)-(IF(B$14&gt;J$1,$C4,$D4)*(IF(B12="Yes",0.75,1)))</f>
        <v>0</v>
      </c>
      <c r="K4" s="32">
        <f>IF(C$15&gt;=K$1,$C4,$D4)-(IF(B$14&gt;K$1,$C4,$D4)*(IF(B12="Yes",0.75,1)))</f>
        <v>0</v>
      </c>
      <c r="L4" s="32">
        <f>IF(C$15&gt;=L$1,$C4,$D4)-(IF(B$14&gt;L$1,$C4,$D4)*(IF(B12="Yes",0.75,1)))</f>
        <v>0</v>
      </c>
      <c r="M4" s="32">
        <f>IF(C$15&gt;=M$1,$C4,$D4)-(IF(B$14&gt;M$1,$C4,$D4)*(IF(B12="Yes",0.75,1)))</f>
        <v>0</v>
      </c>
      <c r="N4" s="32">
        <f>(IF('Before Change'!D11="Yes",0,(IF(C$15&gt;N$1,$C4,$D4)))-(IF(B$14&gt;N$1,$C4,$D4)*(IF(B12="Yes",0.75,1))))</f>
        <v>0</v>
      </c>
      <c r="O4" s="32">
        <f>(IF('Before Change'!D11="Yes",0,(IF(C$15&gt;O$1,$C4,$D4)))-(IF(B$14&gt;O$1,$C4,$D4)*(IF(B12="Yes",0.75,1))))</f>
        <v>0</v>
      </c>
      <c r="P4" s="32">
        <f>(IF('Before Change'!D11="Yes",0,(IF(C$15&gt;P$1,$C4,$D4)))-(IF(B$14&gt;P$1,$C4,$D4)*(IF(B12="Yes",0.75,1))))</f>
        <v>0</v>
      </c>
    </row>
    <row r="5" spans="1:16" ht="15.5" hidden="1" x14ac:dyDescent="0.35">
      <c r="A5" s="17" t="s">
        <v>39</v>
      </c>
      <c r="B5" s="17"/>
      <c r="C5" s="31">
        <f>'Before Change'!J25</f>
        <v>0</v>
      </c>
      <c r="D5" s="31">
        <f>'After Change'!J25</f>
        <v>0</v>
      </c>
      <c r="E5" s="32">
        <f>ROUND(IF(C$15&gt;=E$1,$C5,$D5)-(IF(B$14&gt;E$1,$C5,$D5)*(IF(B12="Yes",0.75,1))),2)</f>
        <v>0</v>
      </c>
      <c r="F5" s="32">
        <f>IF(C$15&gt;=F$1,$C5,$D5)-(IF(B$14&gt;F$1,$C5,$D5)*(IF(B12="Yes",0.75,1)))</f>
        <v>0</v>
      </c>
      <c r="G5" s="32">
        <f>IF(C$15&gt;=G$1,$C5,$D5)-(IF(B$14&gt;G$1,$C5,$D5)*(IF(B12="Yes",0.75,1)))</f>
        <v>0</v>
      </c>
      <c r="H5" s="32">
        <f>IF(C$15&gt;=H$1,$C5,$D5)-(IF(B$14&gt;H$1,$C5,$D5)*(IF(B12="Yes",0.75,1)))</f>
        <v>0</v>
      </c>
      <c r="I5" s="32">
        <f>IF(C$15&gt;=I$1,$C5,$D5)-(IF(B$14&gt;I$1,$C5,$D5)*(IF(B12="Yes",0.75,1)))</f>
        <v>0</v>
      </c>
      <c r="J5" s="32">
        <f>IF(C$15&gt;=J$1,$C5,$D5)-(IF(B$14&gt;J$1,$C5,$D5)*(IF(B12="Yes",0.75,1)))</f>
        <v>0</v>
      </c>
      <c r="K5" s="32">
        <f>IF(C$15&gt;=K$1,$C5,$D5)-(IF(B$14&gt;K$1,$C5,$D5)*(IF(B12="Yes",0.75,1)))</f>
        <v>0</v>
      </c>
      <c r="L5" s="32">
        <f>IF(C$15&gt;=L$1,$C5,$D5)-(IF(B$14&gt;L$1,$C5,$D5)*(IF(B12="Yes",0.75,1)))</f>
        <v>0</v>
      </c>
      <c r="M5" s="32">
        <f>IF(C$15&gt;=M$1,$C5,$D5)-(IF(B$14&gt;M$1,$C5,$D5)*(IF(B12="Yes",0.75,1)))</f>
        <v>0</v>
      </c>
      <c r="N5" s="32">
        <f>(IF('Before Change'!D11="Yes",0,(IF(C$15&gt;N$1,$C5,$D5)))-(IF(B$14&gt;N$1,$C5,$D5)*(IF(B12="Yes",0.75,1))))</f>
        <v>0</v>
      </c>
      <c r="O5" s="32">
        <f>(IF('Before Change'!D11="Yes",0,(IF(C$15&gt;O$1,$C5,$D5)))-(IF(B$14&gt;O$1,$C5,$D5)*(IF(B12="Yes",0.75,1))))</f>
        <v>0</v>
      </c>
      <c r="P5" s="32">
        <f>(IF('Before Change'!D11="Yes",0,(IF(C$15&gt;P$1,$C5,$D5)))-(IF(B$14&gt;P$1,$C5,$D5)*(IF(B12="Yes",0.75,1))))</f>
        <v>0</v>
      </c>
    </row>
    <row r="6" spans="1:16" ht="15.5" hidden="1" x14ac:dyDescent="0.35">
      <c r="A6" s="17" t="s">
        <v>41</v>
      </c>
      <c r="B6" s="17"/>
      <c r="C6" s="31">
        <f>'Before Change'!J29</f>
        <v>0</v>
      </c>
      <c r="D6" s="31">
        <f>'After Change'!J29</f>
        <v>0</v>
      </c>
      <c r="E6" s="32">
        <f>ROUND(IF(C$15&gt;=E$1,$C6,$D6)-(IF(B$14&gt;E$1,$C6,$D6)*(IF(B12="Yes",0.75,1))),2)</f>
        <v>0</v>
      </c>
      <c r="F6" s="32">
        <f>IF(C$15&gt;=F$1,$C6,$D6)-(IF(B$14&gt;F$1,$C6,$D6)*(IF(B12="Yes",0.75,1)))</f>
        <v>0</v>
      </c>
      <c r="G6" s="32">
        <f>IF(C$15&gt;=G$1,$C6,$D6)-(IF(B$14&gt;G$1,$C6,$D6)*(IF(B12="Yes",0.75,1)))</f>
        <v>0</v>
      </c>
      <c r="H6" s="32">
        <f>IF(C$15&gt;=H$1,$C6,$D6)-(IF(B$14&gt;H$1,$C6,$D6)*(IF(B12="Yes",0.75,1)))</f>
        <v>0</v>
      </c>
      <c r="I6" s="32">
        <f>IF(C$15&gt;=I$1,$C6,$D6)-(IF(B$14&gt;I$1,$C6,$D6)*(IF(B12="Yes",0.75,1)))</f>
        <v>0</v>
      </c>
      <c r="J6" s="32">
        <f>IF(C$15&gt;=J$1,$C6,$D6)-(IF(B$14&gt;J$1,$C6,$D6)*(IF(B12="Yes",0.75,1)))</f>
        <v>0</v>
      </c>
      <c r="K6" s="32">
        <f>IF(C$15&gt;=K$1,$C6,$D6)-(IF(B$14&gt;K$1,$C6,$D6)*(IF(B12="Yes",0.75,1)))</f>
        <v>0</v>
      </c>
      <c r="L6" s="32">
        <f>IF(C$15&gt;=L$1,$C6,$D6)-(IF(B$14&gt;L$1,$C6,$D6)*(IF(B12="Yes",0.75,1)))</f>
        <v>0</v>
      </c>
      <c r="M6" s="32">
        <f>IF(C$15&gt;=M$1,$C6,$D6)-(IF(B$14&gt;M$1,$C6,$D6)*(IF(B12="Yes",0.75,1)))</f>
        <v>0</v>
      </c>
      <c r="N6" s="32">
        <f>(IF('Before Change'!D11="Yes",0,(IF(C$15&gt;N$1,$C6,$D6)))-(IF(B$14&gt;N$1,$C6,$D6)*(IF(B12="Yes",0.75,1))))</f>
        <v>0</v>
      </c>
      <c r="O6" s="32">
        <f>(IF('Before Change'!D11="Yes",0,(IF(C$15&gt;O$1,$C6,$D6)))-(IF(B$14&gt;O$1,$C6,$D6)*(IF(B12="Yes",0.75,1))))</f>
        <v>0</v>
      </c>
      <c r="P6" s="32">
        <f>(IF('Before Change'!D11="Yes",0,(IF(C$15&gt;P$1,$C6,$D6)))-(IF(B$14&gt;P$1,$C6,$D6)*(IF(B12="Yes",0.75,1))))</f>
        <v>0</v>
      </c>
    </row>
    <row r="7" spans="1:16" ht="15.5" hidden="1" x14ac:dyDescent="0.35">
      <c r="A7" s="17" t="s">
        <v>44</v>
      </c>
      <c r="B7" s="17"/>
      <c r="C7" s="31">
        <f>'Before Change'!J33</f>
        <v>0</v>
      </c>
      <c r="D7" s="31">
        <f>'After Change'!J33</f>
        <v>0</v>
      </c>
      <c r="E7" s="32">
        <f>ROUND(IF(C$15&gt;=E$1,$C7,$D7)-(IF(B$14&gt;E$1,$C7,$D7)*(IF(B12="Yes",0.75,1))),2)</f>
        <v>0</v>
      </c>
      <c r="F7" s="32">
        <f>IF(C$15&gt;=F$1,$C7,$D7)-(IF(B$14&gt;F$1,$C7,$D7)*(IF(B12="Yes",0.75,1)))</f>
        <v>0</v>
      </c>
      <c r="G7" s="32">
        <f>IF(C$15&gt;=G$1,$C7,$D7)-(IF(B$14&gt;G$1,$C7,$D7)*(IF(B12="Yes",0.75,1)))</f>
        <v>0</v>
      </c>
      <c r="H7" s="32">
        <f>IF(C$15&gt;=H$1,$C7,$D7)-(IF(B$14&gt;H$1,$C7,$D7)*(IF(B12="Yes",0.75,1)))</f>
        <v>0</v>
      </c>
      <c r="I7" s="32">
        <f>IF(C$15&gt;=I$1,$C7,$D7)-(IF(B$14&gt;I$1,$C7,$D7)*(IF(B12="Yes",0.75,1)))</f>
        <v>0</v>
      </c>
      <c r="J7" s="32">
        <f>IF(C$15&gt;=J$1,$C7,$D7)-(IF(B$14&gt;J$1,$C7,$D7)*(IF(B12="Yes",0.75,1)))</f>
        <v>0</v>
      </c>
      <c r="K7" s="32">
        <f>IF(C$15&gt;=K$1,$C7,$D7)-(IF(B$14&gt;K$1,$C7,$D7)*(IF(B12="Yes",0.75,1)))</f>
        <v>0</v>
      </c>
      <c r="L7" s="32">
        <f>IF(C$15&gt;=L$1,$C7,$D7)-(IF(B$14&gt;L$1,$C7,$D7)*(IF(B12="Yes",0.75,1)))</f>
        <v>0</v>
      </c>
      <c r="M7" s="32">
        <f>IF(C$15&gt;=M$1,$C7,$D7)-(IF(B$14&gt;M$1,$C7,$D7)*(IF(B12="Yes",0.75,1)))</f>
        <v>0</v>
      </c>
      <c r="N7" s="32">
        <f>(IF('Before Change'!D11="Yes",0,(IF(C$15&gt;N$1,$C7,$D7)))-(IF(B$14&gt;N$1,$C7,$D7)*(IF(B12="Yes",0.75,1))))</f>
        <v>0</v>
      </c>
      <c r="O7" s="32">
        <f>(IF('Before Change'!D11="Yes",0,(IF(C$15&gt;O$1,$C7,$D7)))-(IF(B$14&gt;O$1,$C7,$D7)*(IF(B12="Yes",0.75,1))))</f>
        <v>0</v>
      </c>
      <c r="P7" s="32">
        <f>(IF('Before Change'!D11="Yes",0,(IF(C$15&gt;P$1,$C7,$D7)))-(IF(B$14&gt;P$1,$C7,$D7)*(IF(B12="Yes",0.75,1))))</f>
        <v>0</v>
      </c>
    </row>
    <row r="8" spans="1:16" ht="15.5" hidden="1" x14ac:dyDescent="0.35">
      <c r="A8" s="17" t="s">
        <v>64</v>
      </c>
      <c r="B8" s="17"/>
      <c r="C8" s="31">
        <f>'Before Change'!J36</f>
        <v>0</v>
      </c>
      <c r="D8" s="31">
        <f>'After Change'!J36</f>
        <v>0</v>
      </c>
      <c r="E8" s="32">
        <f>ROUND(IF(C$15&gt;=E$1,$C8,$D8)-(IF(B$14&gt;E$1,$C8,$D8)*(IF(B12="Yes",0.75,1))),2)</f>
        <v>0</v>
      </c>
      <c r="F8" s="32">
        <f>IF(C$15&gt;=F$1,$C8,$D8)-(IF(B$14&gt;F$1,$C8,$D8)*(IF(B12="Yes",0.75,1)))</f>
        <v>0</v>
      </c>
      <c r="G8" s="32">
        <f>IF(C$15&gt;=G$1,$C8,$D8)-(IF(B$14&gt;G$1,$C8,$D8)*(IF(B12="Yes",0.75,1)))</f>
        <v>0</v>
      </c>
      <c r="H8" s="32">
        <f>IF(C$15&gt;=H$1,$C8,$D8)-(IF(B$14&gt;H$1,$C8,$D8)*(IF(B12="Yes",0.75,1)))</f>
        <v>0</v>
      </c>
      <c r="I8" s="32">
        <f>IF(C$15&gt;=I$1,$C8,$D8)-(IF(B$14&gt;I$1,$C8,$D8)*(IF(B12="Yes",0.75,1)))</f>
        <v>0</v>
      </c>
      <c r="J8" s="32">
        <f>IF(C$15&gt;=J$1,$C8,$D8)-(IF(B$14&gt;J$1,$C8,$D8)*(IF(B12="Yes",0.75,1)))</f>
        <v>0</v>
      </c>
      <c r="K8" s="32">
        <f>IF(C$15&gt;=K$1,$C8,$D8)-(IF(B$14&gt;K$1,$C8,$D8)*(IF(B12="Yes",0.75,1)))</f>
        <v>0</v>
      </c>
      <c r="L8" s="32">
        <f>IF(C$15&gt;=L$1,$C8,$D8)-(IF(B$14&gt;L$1,$C8,$D8)*(IF(B12="Yes",0.75,1)))</f>
        <v>0</v>
      </c>
      <c r="M8" s="32">
        <f>IF(C$15&gt;=M$1,$C8,$D8)-(IF(B$14&gt;M$1,$C8,$D8)*(IF(B12="Yes",0.75,1)))</f>
        <v>0</v>
      </c>
      <c r="N8" s="32">
        <f>(IF('Before Change'!D11="Yes",0,(IF(C$15&gt;N$1,$C8,$D8)))-(IF(B$14&gt;N$1,$C8,$D8)*(IF(B12="Yes",0.75,1))))</f>
        <v>0</v>
      </c>
      <c r="O8" s="32">
        <f>(IF('Before Change'!D11="Yes",0,(IF(C$15&gt;O$1,$C8,$D8)))-(IF(B$14&gt;O$1,$C8,$D8)*(IF(B12="Yes",0.75,1))))</f>
        <v>0</v>
      </c>
      <c r="P8" s="32">
        <f>(IF('Before Change'!D11="Yes",0,(IF(C$15&gt;P$1,$C8,$D8)))-(IF(B$14&gt;P$1,$C8,$D8)*(IF(B12="Yes",0.75,1))))</f>
        <v>0</v>
      </c>
    </row>
    <row r="9" spans="1:16" ht="15.5" hidden="1" x14ac:dyDescent="0.35">
      <c r="A9" s="17" t="s">
        <v>50</v>
      </c>
      <c r="B9" s="17"/>
      <c r="C9" s="31">
        <f>'Before Change'!J40</f>
        <v>0</v>
      </c>
      <c r="D9" s="31">
        <f>'After Change'!J40</f>
        <v>0</v>
      </c>
      <c r="E9" s="32">
        <f>ROUND(IF(C$15&gt;=E$1,$C9,$D9)-(IF(B$14&gt;E$1,$C9,$D9)*(IF(B12="Yes",0.75,1))),2)</f>
        <v>0</v>
      </c>
      <c r="F9" s="32">
        <f>IF(C$15&gt;=F$1,$C9,$D9)-(IF(B$14&gt;F$1,$C9,$D9)*(IF(B12="Yes",0.75,1)))</f>
        <v>0</v>
      </c>
      <c r="G9" s="32">
        <f>IF(C$15&gt;=G$1,$C9,$D9)-(IF(B$14&gt;G$1,$C9,$D9)*(IF(B12="Yes",0.75,1)))</f>
        <v>0</v>
      </c>
      <c r="H9" s="32">
        <f>IF(C$15&gt;=H$1,$C9,$D9)-(IF(B$14&gt;H$1,$C9,$D9)*(IF(B12="Yes",0.75,1)))</f>
        <v>0</v>
      </c>
      <c r="I9" s="32">
        <f>IF(C$15&gt;=I$1,$C9,$D9)-(IF(B$14&gt;I$1,$C9,$D9)*(IF(B12="Yes",0.75,1)))</f>
        <v>0</v>
      </c>
      <c r="J9" s="32">
        <f>IF(C$15&gt;=J$1,$C9,$D9)-(IF(B$14&gt;J$1,$C9,$D9)*(IF(B12="Yes",0.75,1)))</f>
        <v>0</v>
      </c>
      <c r="K9" s="32">
        <f>IF(C$15&gt;=K$1,$C9,$D9)-(IF(B$14&gt;K$1,$C9,$D9)*(IF(B12="Yes",0.75,1)))</f>
        <v>0</v>
      </c>
      <c r="L9" s="32">
        <f>IF(C$15&gt;=L$1,$C9,$D9)-(IF(B$14&gt;L$1,$C9,$D9)*(IF(B12="Yes",0.75,1)))</f>
        <v>0</v>
      </c>
      <c r="M9" s="32">
        <f>IF(C$15&gt;=M$1,$C9,$D9)-(IF(B$14&gt;M$1,$C9,$D9)*(IF(B12="Yes",0.75,1)))</f>
        <v>0</v>
      </c>
      <c r="N9" s="32">
        <f>(IF('Before Change'!D11="Yes",0,(IF(C$15&gt;N$1,$C9,$D9)))-(IF(B$14&gt;N$1,$C9,$D9)*(IF(B12="Yes",0.75,1))))</f>
        <v>0</v>
      </c>
      <c r="O9" s="32">
        <f>(IF('Before Change'!D11="Yes",0,(IF(C$15&gt;O$1,$C9,$D9)))-(IF(B$14&gt;O$1,$C9,$D9)*(IF(B12="Yes",0.75,1))))</f>
        <v>0</v>
      </c>
      <c r="P9" s="32">
        <f>(IF('Before Change'!D11="Yes",0,(IF(C$15&gt;P$1,$C9,$D9)))-(IF(B$14&gt;P$1,$C9,$D9)*(IF(B12="Yes",0.75,1))))</f>
        <v>0</v>
      </c>
    </row>
    <row r="10" spans="1:16" s="40" customFormat="1" ht="15.5" hidden="1" x14ac:dyDescent="0.35">
      <c r="A10" s="37" t="s">
        <v>53</v>
      </c>
      <c r="B10" s="37"/>
      <c r="C10" s="38"/>
      <c r="D10" s="38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15.5" hidden="1" x14ac:dyDescent="0.35">
      <c r="A11" s="3"/>
      <c r="B11" s="3"/>
      <c r="C11" s="33">
        <f>SUM(C3:C10)</f>
        <v>40</v>
      </c>
      <c r="D11" s="33">
        <f t="shared" ref="D11:P11" si="1">SUM(D3:D10)</f>
        <v>0</v>
      </c>
      <c r="E11" s="33">
        <f>SUM(E3:E10)</f>
        <v>40</v>
      </c>
      <c r="F11" s="33">
        <f t="shared" si="1"/>
        <v>0</v>
      </c>
      <c r="G11" s="33">
        <f t="shared" si="1"/>
        <v>0</v>
      </c>
      <c r="H11" s="33">
        <f t="shared" si="1"/>
        <v>0</v>
      </c>
      <c r="I11" s="33">
        <f t="shared" si="1"/>
        <v>0</v>
      </c>
      <c r="J11" s="33">
        <f t="shared" si="1"/>
        <v>0</v>
      </c>
      <c r="K11" s="33">
        <f t="shared" si="1"/>
        <v>0</v>
      </c>
      <c r="L11" s="33">
        <f t="shared" si="1"/>
        <v>0</v>
      </c>
      <c r="M11" s="33">
        <f t="shared" si="1"/>
        <v>0</v>
      </c>
      <c r="N11" s="33">
        <f t="shared" si="1"/>
        <v>0</v>
      </c>
      <c r="O11" s="33">
        <f t="shared" si="1"/>
        <v>0</v>
      </c>
      <c r="P11" s="33">
        <f t="shared" si="1"/>
        <v>0</v>
      </c>
    </row>
    <row r="12" spans="1:16" ht="15.5" hidden="1" x14ac:dyDescent="0.35">
      <c r="A12" s="17" t="s">
        <v>79</v>
      </c>
      <c r="B12" t="str" cm="1">
        <f t="array" ref="B12">_xlfn.IFS(AND('Before Change'!D11="Yes",'After Change'!D11="No"),"Yes",AND('Before Change'!D11="No",'After Change'!D11="No"),"No",AND('Before Change'!D11="Yes",'After Change'!D11="Yes"),"No")</f>
        <v>Yes</v>
      </c>
    </row>
    <row r="13" spans="1:16" x14ac:dyDescent="0.35">
      <c r="E13" s="31"/>
    </row>
    <row r="14" spans="1:16" ht="15.5" x14ac:dyDescent="0.35">
      <c r="A14" s="17" t="s">
        <v>80</v>
      </c>
      <c r="B14">
        <f>VLOOKUP(C14,Validation!A64:B75,2,FALSE)</f>
        <v>1</v>
      </c>
      <c r="C14" s="35" t="s">
        <v>67</v>
      </c>
      <c r="E14" s="81" t="s">
        <v>81</v>
      </c>
      <c r="F14" t="s">
        <v>82</v>
      </c>
    </row>
    <row r="15" spans="1:16" ht="16" thickBot="1" x14ac:dyDescent="0.4">
      <c r="A15" s="17" t="s">
        <v>83</v>
      </c>
      <c r="B15" s="17"/>
      <c r="C15" s="36">
        <v>1</v>
      </c>
      <c r="E15" s="121">
        <f>SUM(E17:E24)</f>
        <v>40</v>
      </c>
      <c r="F15" s="80" t="s">
        <v>84</v>
      </c>
    </row>
    <row r="16" spans="1:16" ht="15" thickTop="1" x14ac:dyDescent="0.35"/>
    <row r="17" spans="1:6" ht="15.5" x14ac:dyDescent="0.35">
      <c r="E17" s="31">
        <f t="shared" ref="E17:E23" si="2">SUM(E3:P3)</f>
        <v>40</v>
      </c>
      <c r="F17" s="3" t="s">
        <v>28</v>
      </c>
    </row>
    <row r="18" spans="1:6" ht="15.5" x14ac:dyDescent="0.35">
      <c r="E18" s="31">
        <f t="shared" si="2"/>
        <v>0</v>
      </c>
      <c r="F18" s="3" t="s">
        <v>37</v>
      </c>
    </row>
    <row r="19" spans="1:6" ht="15.5" x14ac:dyDescent="0.35">
      <c r="E19" s="31">
        <f t="shared" si="2"/>
        <v>0</v>
      </c>
      <c r="F19" s="3" t="s">
        <v>39</v>
      </c>
    </row>
    <row r="20" spans="1:6" ht="15.5" x14ac:dyDescent="0.35">
      <c r="C20" s="31"/>
      <c r="E20" s="31">
        <f t="shared" si="2"/>
        <v>0</v>
      </c>
      <c r="F20" s="3" t="s">
        <v>41</v>
      </c>
    </row>
    <row r="21" spans="1:6" ht="15.5" x14ac:dyDescent="0.35">
      <c r="E21" s="31">
        <f t="shared" si="2"/>
        <v>0</v>
      </c>
      <c r="F21" s="3" t="s">
        <v>44</v>
      </c>
    </row>
    <row r="22" spans="1:6" ht="15.5" x14ac:dyDescent="0.35">
      <c r="E22" s="31">
        <f t="shared" si="2"/>
        <v>0</v>
      </c>
      <c r="F22" s="3" t="s">
        <v>64</v>
      </c>
    </row>
    <row r="23" spans="1:6" ht="15.5" x14ac:dyDescent="0.35">
      <c r="E23" s="31">
        <f t="shared" si="2"/>
        <v>0</v>
      </c>
      <c r="F23" s="3" t="s">
        <v>50</v>
      </c>
    </row>
    <row r="24" spans="1:6" ht="15.5" x14ac:dyDescent="0.35">
      <c r="E24" s="122" t="s">
        <v>85</v>
      </c>
      <c r="F24" s="123" t="s">
        <v>86</v>
      </c>
    </row>
    <row r="25" spans="1:6" x14ac:dyDescent="0.35">
      <c r="C25" s="32"/>
      <c r="D25" s="32"/>
      <c r="E25" s="31"/>
    </row>
    <row r="26" spans="1:6" x14ac:dyDescent="0.35">
      <c r="A26" t="s">
        <v>87</v>
      </c>
      <c r="C26" s="32"/>
      <c r="D26" s="32"/>
      <c r="E26" s="31"/>
    </row>
    <row r="27" spans="1:6" ht="15.5" x14ac:dyDescent="0.35">
      <c r="A27" s="34"/>
    </row>
    <row r="28" spans="1:6" ht="15.5" x14ac:dyDescent="0.35">
      <c r="A28" s="3"/>
      <c r="B28" s="3"/>
      <c r="C28" s="31"/>
      <c r="D28" s="31"/>
      <c r="E28" s="31"/>
    </row>
  </sheetData>
  <conditionalFormatting sqref="E15:E23">
    <cfRule type="cellIs" dxfId="1" priority="1" operator="lessThan">
      <formula>0</formula>
    </cfRule>
    <cfRule type="cellIs" dxfId="0" priority="2" operator="greaterThanOrEqual">
      <formula>0</formula>
    </cfRule>
  </conditionalFormatting>
  <dataValidations count="1">
    <dataValidation type="whole" allowBlank="1" showInputMessage="1" showErrorMessage="1" error="Enter a number between 1 and 12" sqref="C15" xr:uid="{00000000-0002-0000-0200-000000000000}">
      <formula1>1</formula1>
      <formula2>12</formula2>
    </dataValidation>
  </dataValidations>
  <pageMargins left="0.7" right="0.7" top="0.75" bottom="0.75" header="0.3" footer="0.3"/>
  <pageSetup orientation="portrait" horizontalDpi="1200" verticalDpi="1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1000000}">
          <x14:formula1>
            <xm:f>Validation!$A$64:$A$75</xm:f>
          </x14:formula1>
          <xm:sqref>C14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</sheetPr>
  <dimension ref="A1:H98"/>
  <sheetViews>
    <sheetView topLeftCell="A46" workbookViewId="0">
      <selection activeCell="A66" sqref="A66"/>
    </sheetView>
  </sheetViews>
  <sheetFormatPr defaultRowHeight="14.5" x14ac:dyDescent="0.35"/>
  <cols>
    <col min="1" max="1" width="31.54296875" customWidth="1"/>
    <col min="3" max="5" width="13.7265625" bestFit="1" customWidth="1"/>
    <col min="6" max="6" width="13.7265625" customWidth="1"/>
    <col min="8" max="8" width="14.1796875" customWidth="1"/>
    <col min="9" max="9" width="13.54296875" customWidth="1"/>
  </cols>
  <sheetData>
    <row r="1" spans="1:3" x14ac:dyDescent="0.35">
      <c r="A1" t="s">
        <v>88</v>
      </c>
      <c r="C1" t="s">
        <v>89</v>
      </c>
    </row>
    <row r="2" spans="1:3" x14ac:dyDescent="0.35">
      <c r="A2" t="s">
        <v>31</v>
      </c>
      <c r="C2" t="s">
        <v>4</v>
      </c>
    </row>
    <row r="3" spans="1:3" x14ac:dyDescent="0.35">
      <c r="A3" t="s">
        <v>90</v>
      </c>
      <c r="C3" t="s">
        <v>91</v>
      </c>
    </row>
    <row r="4" spans="1:3" x14ac:dyDescent="0.35">
      <c r="A4" t="s">
        <v>92</v>
      </c>
      <c r="C4" t="s">
        <v>93</v>
      </c>
    </row>
    <row r="5" spans="1:3" x14ac:dyDescent="0.35">
      <c r="A5" t="s">
        <v>94</v>
      </c>
      <c r="C5" t="s">
        <v>95</v>
      </c>
    </row>
    <row r="6" spans="1:3" x14ac:dyDescent="0.35">
      <c r="C6" t="s">
        <v>96</v>
      </c>
    </row>
    <row r="7" spans="1:3" x14ac:dyDescent="0.35">
      <c r="C7" t="s">
        <v>97</v>
      </c>
    </row>
    <row r="8" spans="1:3" x14ac:dyDescent="0.35">
      <c r="A8" t="s">
        <v>98</v>
      </c>
      <c r="C8" t="s">
        <v>99</v>
      </c>
    </row>
    <row r="9" spans="1:3" x14ac:dyDescent="0.35">
      <c r="A9" t="s">
        <v>38</v>
      </c>
      <c r="C9" t="s">
        <v>100</v>
      </c>
    </row>
    <row r="10" spans="1:3" x14ac:dyDescent="0.35">
      <c r="A10" t="s">
        <v>101</v>
      </c>
      <c r="C10" t="s">
        <v>102</v>
      </c>
    </row>
    <row r="11" spans="1:3" x14ac:dyDescent="0.35">
      <c r="C11" t="s">
        <v>103</v>
      </c>
    </row>
    <row r="12" spans="1:3" x14ac:dyDescent="0.35">
      <c r="A12" t="s">
        <v>104</v>
      </c>
      <c r="C12" t="s">
        <v>105</v>
      </c>
    </row>
    <row r="13" spans="1:3" x14ac:dyDescent="0.35">
      <c r="A13" t="s">
        <v>40</v>
      </c>
      <c r="C13" t="s">
        <v>106</v>
      </c>
    </row>
    <row r="15" spans="1:3" x14ac:dyDescent="0.35">
      <c r="A15" t="s">
        <v>50</v>
      </c>
      <c r="C15" t="s">
        <v>19</v>
      </c>
    </row>
    <row r="16" spans="1:3" x14ac:dyDescent="0.35">
      <c r="C16" t="s">
        <v>13</v>
      </c>
    </row>
    <row r="17" spans="1:3" x14ac:dyDescent="0.35">
      <c r="A17" t="s">
        <v>107</v>
      </c>
      <c r="C17" t="s">
        <v>108</v>
      </c>
    </row>
    <row r="18" spans="1:3" x14ac:dyDescent="0.35">
      <c r="A18" t="s">
        <v>109</v>
      </c>
    </row>
    <row r="19" spans="1:3" x14ac:dyDescent="0.35">
      <c r="A19" t="s">
        <v>110</v>
      </c>
      <c r="C19" s="2">
        <v>10000</v>
      </c>
    </row>
    <row r="20" spans="1:3" x14ac:dyDescent="0.35">
      <c r="C20" s="2">
        <v>20000</v>
      </c>
    </row>
    <row r="21" spans="1:3" x14ac:dyDescent="0.35">
      <c r="A21" t="s">
        <v>111</v>
      </c>
      <c r="C21" s="2">
        <v>30000</v>
      </c>
    </row>
    <row r="22" spans="1:3" x14ac:dyDescent="0.35">
      <c r="A22">
        <v>0.5</v>
      </c>
      <c r="C22" s="2">
        <v>40000</v>
      </c>
    </row>
    <row r="23" spans="1:3" x14ac:dyDescent="0.35">
      <c r="A23">
        <v>1</v>
      </c>
      <c r="C23" s="2">
        <v>50000</v>
      </c>
    </row>
    <row r="24" spans="1:3" x14ac:dyDescent="0.35">
      <c r="A24">
        <v>2</v>
      </c>
      <c r="C24" s="2">
        <v>60000</v>
      </c>
    </row>
    <row r="25" spans="1:3" x14ac:dyDescent="0.35">
      <c r="A25">
        <v>3</v>
      </c>
      <c r="C25" s="2">
        <v>70000</v>
      </c>
    </row>
    <row r="26" spans="1:3" x14ac:dyDescent="0.35">
      <c r="A26">
        <v>4</v>
      </c>
      <c r="C26" s="2">
        <v>80000</v>
      </c>
    </row>
    <row r="27" spans="1:3" x14ac:dyDescent="0.35">
      <c r="A27">
        <v>5</v>
      </c>
      <c r="C27" s="2">
        <v>90000</v>
      </c>
    </row>
    <row r="28" spans="1:3" x14ac:dyDescent="0.35">
      <c r="A28">
        <v>6</v>
      </c>
      <c r="C28" s="2">
        <v>100000</v>
      </c>
    </row>
    <row r="29" spans="1:3" x14ac:dyDescent="0.35">
      <c r="C29" s="2">
        <v>110000</v>
      </c>
    </row>
    <row r="30" spans="1:3" x14ac:dyDescent="0.35">
      <c r="A30" t="s">
        <v>112</v>
      </c>
      <c r="C30" s="2">
        <v>120000</v>
      </c>
    </row>
    <row r="31" spans="1:3" x14ac:dyDescent="0.35">
      <c r="A31" t="s">
        <v>33</v>
      </c>
      <c r="C31" s="2">
        <v>130000</v>
      </c>
    </row>
    <row r="32" spans="1:3" x14ac:dyDescent="0.35">
      <c r="A32" t="s">
        <v>113</v>
      </c>
      <c r="C32" s="2">
        <v>140000</v>
      </c>
    </row>
    <row r="33" spans="1:8" x14ac:dyDescent="0.35">
      <c r="A33" t="s">
        <v>114</v>
      </c>
      <c r="C33" s="2">
        <v>150000</v>
      </c>
    </row>
    <row r="34" spans="1:8" x14ac:dyDescent="0.35">
      <c r="A34" t="s">
        <v>63</v>
      </c>
      <c r="C34" s="2">
        <v>160000</v>
      </c>
    </row>
    <row r="35" spans="1:8" x14ac:dyDescent="0.35">
      <c r="C35" s="2">
        <v>170000</v>
      </c>
    </row>
    <row r="36" spans="1:8" x14ac:dyDescent="0.35">
      <c r="A36" t="s">
        <v>115</v>
      </c>
      <c r="C36" s="2">
        <v>180000</v>
      </c>
    </row>
    <row r="37" spans="1:8" x14ac:dyDescent="0.35">
      <c r="A37" t="s">
        <v>49</v>
      </c>
      <c r="C37" s="2">
        <v>190000</v>
      </c>
    </row>
    <row r="38" spans="1:8" x14ac:dyDescent="0.35">
      <c r="C38" s="2">
        <v>200000</v>
      </c>
    </row>
    <row r="39" spans="1:8" x14ac:dyDescent="0.35">
      <c r="A39" t="s">
        <v>22</v>
      </c>
      <c r="C39" s="2">
        <v>210000</v>
      </c>
    </row>
    <row r="40" spans="1:8" x14ac:dyDescent="0.35">
      <c r="A40" t="s">
        <v>116</v>
      </c>
      <c r="C40" s="2">
        <v>220000</v>
      </c>
    </row>
    <row r="41" spans="1:8" x14ac:dyDescent="0.35">
      <c r="A41" t="s">
        <v>62</v>
      </c>
      <c r="C41" s="2">
        <v>230000</v>
      </c>
    </row>
    <row r="42" spans="1:8" x14ac:dyDescent="0.35">
      <c r="C42" s="2">
        <v>240000</v>
      </c>
    </row>
    <row r="43" spans="1:8" x14ac:dyDescent="0.35">
      <c r="A43" s="2">
        <v>25000</v>
      </c>
      <c r="C43" s="2">
        <v>250000</v>
      </c>
    </row>
    <row r="44" spans="1:8" x14ac:dyDescent="0.35">
      <c r="A44" s="2">
        <v>50000</v>
      </c>
      <c r="C44" s="2">
        <v>260000</v>
      </c>
    </row>
    <row r="45" spans="1:8" x14ac:dyDescent="0.35">
      <c r="A45" s="2">
        <v>75000</v>
      </c>
      <c r="C45" s="2">
        <v>270000</v>
      </c>
      <c r="H45" s="2"/>
    </row>
    <row r="46" spans="1:8" x14ac:dyDescent="0.35">
      <c r="A46" s="2">
        <v>100000</v>
      </c>
      <c r="C46" s="2">
        <v>280000</v>
      </c>
    </row>
    <row r="47" spans="1:8" x14ac:dyDescent="0.35">
      <c r="A47" s="2">
        <v>150000</v>
      </c>
      <c r="C47" s="2">
        <v>290000</v>
      </c>
    </row>
    <row r="48" spans="1:8" x14ac:dyDescent="0.35">
      <c r="A48" s="2">
        <v>200000</v>
      </c>
      <c r="C48" s="2">
        <v>300000</v>
      </c>
    </row>
    <row r="49" spans="1:3" x14ac:dyDescent="0.35">
      <c r="C49" s="2">
        <v>310000</v>
      </c>
    </row>
    <row r="50" spans="1:3" x14ac:dyDescent="0.35">
      <c r="A50" t="s">
        <v>51</v>
      </c>
      <c r="C50" s="2">
        <v>320000</v>
      </c>
    </row>
    <row r="51" spans="1:3" x14ac:dyDescent="0.35">
      <c r="A51" t="s">
        <v>117</v>
      </c>
      <c r="C51" s="2">
        <v>330000</v>
      </c>
    </row>
    <row r="52" spans="1:3" x14ac:dyDescent="0.35">
      <c r="A52" t="s">
        <v>118</v>
      </c>
      <c r="C52" s="2">
        <v>340000</v>
      </c>
    </row>
    <row r="53" spans="1:3" x14ac:dyDescent="0.35">
      <c r="A53" t="s">
        <v>119</v>
      </c>
      <c r="C53" s="2">
        <v>350000</v>
      </c>
    </row>
    <row r="54" spans="1:3" x14ac:dyDescent="0.35">
      <c r="A54" t="s">
        <v>120</v>
      </c>
      <c r="C54" s="2">
        <v>360000</v>
      </c>
    </row>
    <row r="55" spans="1:3" x14ac:dyDescent="0.35">
      <c r="A55" t="s">
        <v>121</v>
      </c>
      <c r="C55" s="2">
        <v>370000</v>
      </c>
    </row>
    <row r="56" spans="1:3" x14ac:dyDescent="0.35">
      <c r="A56" t="s">
        <v>122</v>
      </c>
      <c r="C56" s="2">
        <v>380000</v>
      </c>
    </row>
    <row r="57" spans="1:3" x14ac:dyDescent="0.35">
      <c r="A57" t="s">
        <v>123</v>
      </c>
      <c r="C57" s="2">
        <v>390000</v>
      </c>
    </row>
    <row r="58" spans="1:3" x14ac:dyDescent="0.35">
      <c r="C58" s="2">
        <v>400000</v>
      </c>
    </row>
    <row r="59" spans="1:3" x14ac:dyDescent="0.35">
      <c r="A59" t="s">
        <v>124</v>
      </c>
      <c r="C59" s="2">
        <v>410000</v>
      </c>
    </row>
    <row r="60" spans="1:3" x14ac:dyDescent="0.35">
      <c r="A60" t="s">
        <v>125</v>
      </c>
      <c r="C60" s="2">
        <v>420000</v>
      </c>
    </row>
    <row r="61" spans="1:3" x14ac:dyDescent="0.35">
      <c r="A61" t="s">
        <v>126</v>
      </c>
      <c r="C61" s="2">
        <v>430000</v>
      </c>
    </row>
    <row r="62" spans="1:3" x14ac:dyDescent="0.35">
      <c r="A62" t="s">
        <v>127</v>
      </c>
      <c r="C62" s="2">
        <v>440000</v>
      </c>
    </row>
    <row r="63" spans="1:3" x14ac:dyDescent="0.35">
      <c r="C63" s="2">
        <v>450000</v>
      </c>
    </row>
    <row r="64" spans="1:3" x14ac:dyDescent="0.35">
      <c r="A64" t="s">
        <v>71</v>
      </c>
      <c r="B64">
        <v>5</v>
      </c>
      <c r="C64" s="2">
        <v>460000</v>
      </c>
    </row>
    <row r="65" spans="1:3" x14ac:dyDescent="0.35">
      <c r="A65" t="s">
        <v>72</v>
      </c>
      <c r="B65">
        <v>6</v>
      </c>
      <c r="C65" s="2">
        <v>470000</v>
      </c>
    </row>
    <row r="66" spans="1:3" x14ac:dyDescent="0.35">
      <c r="A66" t="s">
        <v>73</v>
      </c>
      <c r="B66">
        <v>7</v>
      </c>
      <c r="C66" s="2">
        <v>480000</v>
      </c>
    </row>
    <row r="67" spans="1:3" x14ac:dyDescent="0.35">
      <c r="A67" t="s">
        <v>74</v>
      </c>
      <c r="B67">
        <v>8</v>
      </c>
      <c r="C67" s="2">
        <v>490000</v>
      </c>
    </row>
    <row r="68" spans="1:3" x14ac:dyDescent="0.35">
      <c r="A68" t="s">
        <v>75</v>
      </c>
      <c r="B68">
        <v>9</v>
      </c>
      <c r="C68" s="2">
        <v>500000</v>
      </c>
    </row>
    <row r="69" spans="1:3" x14ac:dyDescent="0.35">
      <c r="A69" t="s">
        <v>76</v>
      </c>
      <c r="B69">
        <v>10</v>
      </c>
      <c r="C69" s="2">
        <v>510000</v>
      </c>
    </row>
    <row r="70" spans="1:3" x14ac:dyDescent="0.35">
      <c r="A70" t="s">
        <v>77</v>
      </c>
      <c r="B70">
        <v>11</v>
      </c>
      <c r="C70" s="2">
        <v>520000</v>
      </c>
    </row>
    <row r="71" spans="1:3" x14ac:dyDescent="0.35">
      <c r="A71" t="s">
        <v>78</v>
      </c>
      <c r="B71">
        <v>12</v>
      </c>
      <c r="C71" s="2">
        <v>530000</v>
      </c>
    </row>
    <row r="72" spans="1:3" x14ac:dyDescent="0.35">
      <c r="A72" t="s">
        <v>67</v>
      </c>
      <c r="B72">
        <v>1</v>
      </c>
      <c r="C72" s="2">
        <v>540000</v>
      </c>
    </row>
    <row r="73" spans="1:3" x14ac:dyDescent="0.35">
      <c r="A73" t="s">
        <v>68</v>
      </c>
      <c r="B73">
        <v>2</v>
      </c>
      <c r="C73" s="2">
        <v>550000</v>
      </c>
    </row>
    <row r="74" spans="1:3" x14ac:dyDescent="0.35">
      <c r="A74" t="s">
        <v>69</v>
      </c>
      <c r="B74">
        <v>3</v>
      </c>
      <c r="C74" s="2">
        <v>560000</v>
      </c>
    </row>
    <row r="75" spans="1:3" x14ac:dyDescent="0.35">
      <c r="A75" t="s">
        <v>70</v>
      </c>
      <c r="B75">
        <v>4</v>
      </c>
      <c r="C75" s="2">
        <v>570000</v>
      </c>
    </row>
    <row r="76" spans="1:3" x14ac:dyDescent="0.35">
      <c r="C76" s="2">
        <v>580000</v>
      </c>
    </row>
    <row r="77" spans="1:3" x14ac:dyDescent="0.35">
      <c r="C77" s="2">
        <v>590000</v>
      </c>
    </row>
    <row r="78" spans="1:3" x14ac:dyDescent="0.35">
      <c r="C78" s="2">
        <v>600000</v>
      </c>
    </row>
    <row r="79" spans="1:3" x14ac:dyDescent="0.35">
      <c r="C79" s="2">
        <v>610000</v>
      </c>
    </row>
    <row r="80" spans="1:3" x14ac:dyDescent="0.35">
      <c r="C80" s="2">
        <v>620000</v>
      </c>
    </row>
    <row r="81" spans="3:3" x14ac:dyDescent="0.35">
      <c r="C81" s="2">
        <v>630000</v>
      </c>
    </row>
    <row r="82" spans="3:3" x14ac:dyDescent="0.35">
      <c r="C82" s="2">
        <v>640000</v>
      </c>
    </row>
    <row r="83" spans="3:3" x14ac:dyDescent="0.35">
      <c r="C83" s="2">
        <v>650000</v>
      </c>
    </row>
    <row r="84" spans="3:3" x14ac:dyDescent="0.35">
      <c r="C84" s="2">
        <v>660000</v>
      </c>
    </row>
    <row r="85" spans="3:3" x14ac:dyDescent="0.35">
      <c r="C85" s="2">
        <v>670000</v>
      </c>
    </row>
    <row r="86" spans="3:3" x14ac:dyDescent="0.35">
      <c r="C86" s="2">
        <v>680000</v>
      </c>
    </row>
    <row r="87" spans="3:3" x14ac:dyDescent="0.35">
      <c r="C87" s="2">
        <v>690000</v>
      </c>
    </row>
    <row r="88" spans="3:3" x14ac:dyDescent="0.35">
      <c r="C88" s="2">
        <v>700000</v>
      </c>
    </row>
    <row r="89" spans="3:3" x14ac:dyDescent="0.35">
      <c r="C89" s="2">
        <v>710000</v>
      </c>
    </row>
    <row r="90" spans="3:3" x14ac:dyDescent="0.35">
      <c r="C90" s="2">
        <v>720000</v>
      </c>
    </row>
    <row r="91" spans="3:3" x14ac:dyDescent="0.35">
      <c r="C91" s="2">
        <v>730000</v>
      </c>
    </row>
    <row r="92" spans="3:3" x14ac:dyDescent="0.35">
      <c r="C92" s="2">
        <v>740000</v>
      </c>
    </row>
    <row r="93" spans="3:3" x14ac:dyDescent="0.35">
      <c r="C93" s="2">
        <v>750000</v>
      </c>
    </row>
    <row r="94" spans="3:3" x14ac:dyDescent="0.35">
      <c r="C94" s="2">
        <v>760000</v>
      </c>
    </row>
    <row r="95" spans="3:3" x14ac:dyDescent="0.35">
      <c r="C95" s="2">
        <v>770000</v>
      </c>
    </row>
    <row r="96" spans="3:3" x14ac:dyDescent="0.35">
      <c r="C96" s="2">
        <v>780000</v>
      </c>
    </row>
    <row r="97" spans="3:3" x14ac:dyDescent="0.35">
      <c r="C97" s="2">
        <v>790000</v>
      </c>
    </row>
    <row r="98" spans="3:3" x14ac:dyDescent="0.35">
      <c r="C98" s="2">
        <v>800000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249977111117893"/>
  </sheetPr>
  <dimension ref="A1:F100"/>
  <sheetViews>
    <sheetView workbookViewId="0">
      <selection activeCell="E27" sqref="E27"/>
    </sheetView>
  </sheetViews>
  <sheetFormatPr defaultRowHeight="14.5" x14ac:dyDescent="0.35"/>
  <cols>
    <col min="1" max="1" width="27.7265625" customWidth="1"/>
    <col min="2" max="2" width="24.453125" customWidth="1"/>
    <col min="3" max="4" width="17.81640625" customWidth="1"/>
    <col min="5" max="5" width="11.26953125" customWidth="1"/>
    <col min="6" max="6" width="39.26953125" customWidth="1"/>
  </cols>
  <sheetData>
    <row r="1" spans="1:6" ht="36.75" customHeight="1" thickTop="1" thickBot="1" x14ac:dyDescent="0.4">
      <c r="A1" s="61" t="s">
        <v>30</v>
      </c>
      <c r="B1" s="62" t="s">
        <v>32</v>
      </c>
      <c r="C1" s="62" t="s">
        <v>128</v>
      </c>
      <c r="D1" s="62" t="s">
        <v>129</v>
      </c>
      <c r="E1" s="63" t="s">
        <v>130</v>
      </c>
      <c r="F1" t="s">
        <v>131</v>
      </c>
    </row>
    <row r="2" spans="1:6" x14ac:dyDescent="0.35">
      <c r="A2" s="98" t="s">
        <v>31</v>
      </c>
      <c r="B2" s="99" t="s">
        <v>33</v>
      </c>
      <c r="C2" s="99" t="s">
        <v>132</v>
      </c>
      <c r="D2" s="100" t="s">
        <v>22</v>
      </c>
      <c r="E2" s="101">
        <v>0</v>
      </c>
    </row>
    <row r="3" spans="1:6" x14ac:dyDescent="0.35">
      <c r="A3" s="88" t="s">
        <v>90</v>
      </c>
      <c r="B3" s="89" t="s">
        <v>33</v>
      </c>
      <c r="C3" s="89" t="s">
        <v>132</v>
      </c>
      <c r="D3" s="105" t="s">
        <v>22</v>
      </c>
      <c r="E3" s="90">
        <v>0</v>
      </c>
    </row>
    <row r="4" spans="1:6" x14ac:dyDescent="0.35">
      <c r="A4" s="91" t="s">
        <v>92</v>
      </c>
      <c r="B4" s="27" t="s">
        <v>33</v>
      </c>
      <c r="C4" s="27" t="s">
        <v>132</v>
      </c>
      <c r="D4" s="97" t="s">
        <v>22</v>
      </c>
      <c r="E4" s="93">
        <v>0</v>
      </c>
    </row>
    <row r="5" spans="1:6" x14ac:dyDescent="0.35">
      <c r="A5" s="94" t="s">
        <v>94</v>
      </c>
      <c r="B5" s="95" t="s">
        <v>33</v>
      </c>
      <c r="C5" s="95" t="s">
        <v>132</v>
      </c>
      <c r="D5" s="107" t="s">
        <v>22</v>
      </c>
      <c r="E5" s="96">
        <v>0</v>
      </c>
    </row>
    <row r="6" spans="1:6" x14ac:dyDescent="0.35">
      <c r="A6" s="70" t="s">
        <v>133</v>
      </c>
      <c r="B6" s="43"/>
      <c r="C6" s="43"/>
      <c r="D6" s="43" t="s">
        <v>22</v>
      </c>
      <c r="E6" s="71">
        <v>0</v>
      </c>
    </row>
    <row r="7" spans="1:6" x14ac:dyDescent="0.35">
      <c r="A7" s="84" t="s">
        <v>31</v>
      </c>
      <c r="B7" s="85" t="s">
        <v>113</v>
      </c>
      <c r="C7" s="85" t="s">
        <v>132</v>
      </c>
      <c r="D7" s="86" t="s">
        <v>22</v>
      </c>
      <c r="E7" s="87">
        <v>310.22000000000003</v>
      </c>
    </row>
    <row r="8" spans="1:6" x14ac:dyDescent="0.35">
      <c r="A8" s="88" t="s">
        <v>90</v>
      </c>
      <c r="B8" s="89" t="s">
        <v>113</v>
      </c>
      <c r="C8" s="89" t="s">
        <v>132</v>
      </c>
      <c r="D8" s="105" t="s">
        <v>22</v>
      </c>
      <c r="E8" s="90">
        <v>125.55999999999995</v>
      </c>
    </row>
    <row r="9" spans="1:6" x14ac:dyDescent="0.35">
      <c r="A9" s="91" t="s">
        <v>92</v>
      </c>
      <c r="B9" s="27" t="s">
        <v>113</v>
      </c>
      <c r="C9" s="27" t="s">
        <v>132</v>
      </c>
      <c r="D9" s="97" t="s">
        <v>22</v>
      </c>
      <c r="E9" s="93">
        <v>310.22000000000003</v>
      </c>
    </row>
    <row r="10" spans="1:6" x14ac:dyDescent="0.35">
      <c r="A10" s="94" t="s">
        <v>94</v>
      </c>
      <c r="B10" s="95" t="s">
        <v>113</v>
      </c>
      <c r="C10" s="95" t="s">
        <v>132</v>
      </c>
      <c r="D10" s="108" t="s">
        <v>22</v>
      </c>
      <c r="E10" s="96">
        <v>0</v>
      </c>
    </row>
    <row r="11" spans="1:6" x14ac:dyDescent="0.35">
      <c r="A11" s="102" t="s">
        <v>31</v>
      </c>
      <c r="B11" s="103" t="s">
        <v>114</v>
      </c>
      <c r="C11" s="103" t="s">
        <v>132</v>
      </c>
      <c r="D11" s="86" t="s">
        <v>22</v>
      </c>
      <c r="E11" s="104">
        <v>215.53999999999996</v>
      </c>
    </row>
    <row r="12" spans="1:6" x14ac:dyDescent="0.35">
      <c r="A12" s="88" t="s">
        <v>90</v>
      </c>
      <c r="B12" s="89" t="s">
        <v>114</v>
      </c>
      <c r="C12" s="89" t="s">
        <v>132</v>
      </c>
      <c r="D12" s="105" t="s">
        <v>22</v>
      </c>
      <c r="E12" s="90">
        <v>51.230000000000018</v>
      </c>
    </row>
    <row r="13" spans="1:6" x14ac:dyDescent="0.35">
      <c r="A13" s="91" t="s">
        <v>92</v>
      </c>
      <c r="B13" s="27" t="s">
        <v>114</v>
      </c>
      <c r="C13" s="27" t="s">
        <v>132</v>
      </c>
      <c r="D13" s="97" t="s">
        <v>22</v>
      </c>
      <c r="E13" s="93">
        <v>215.53999999999996</v>
      </c>
    </row>
    <row r="14" spans="1:6" x14ac:dyDescent="0.35">
      <c r="A14" s="109" t="s">
        <v>94</v>
      </c>
      <c r="B14" s="110" t="s">
        <v>114</v>
      </c>
      <c r="C14" s="110" t="s">
        <v>132</v>
      </c>
      <c r="D14" s="108" t="s">
        <v>22</v>
      </c>
      <c r="E14" s="111">
        <v>31.360000000000014</v>
      </c>
    </row>
    <row r="15" spans="1:6" x14ac:dyDescent="0.35">
      <c r="A15" s="84" t="s">
        <v>31</v>
      </c>
      <c r="B15" s="85" t="s">
        <v>63</v>
      </c>
      <c r="C15" s="85" t="s">
        <v>132</v>
      </c>
      <c r="D15" s="86" t="s">
        <v>22</v>
      </c>
      <c r="E15" s="87">
        <v>436.58000000000015</v>
      </c>
    </row>
    <row r="16" spans="1:6" x14ac:dyDescent="0.35">
      <c r="A16" s="88" t="s">
        <v>90</v>
      </c>
      <c r="B16" s="89" t="s">
        <v>63</v>
      </c>
      <c r="C16" s="89" t="s">
        <v>132</v>
      </c>
      <c r="D16" s="105" t="s">
        <v>22</v>
      </c>
      <c r="E16" s="90">
        <v>224.78999999999996</v>
      </c>
    </row>
    <row r="17" spans="1:5" x14ac:dyDescent="0.35">
      <c r="A17" s="91" t="s">
        <v>92</v>
      </c>
      <c r="B17" s="27" t="s">
        <v>63</v>
      </c>
      <c r="C17" s="27" t="s">
        <v>132</v>
      </c>
      <c r="D17" s="97" t="s">
        <v>22</v>
      </c>
      <c r="E17" s="93">
        <v>436.58000000000015</v>
      </c>
    </row>
    <row r="18" spans="1:5" ht="15" thickBot="1" x14ac:dyDescent="0.4">
      <c r="A18" s="112" t="s">
        <v>94</v>
      </c>
      <c r="B18" s="113" t="s">
        <v>63</v>
      </c>
      <c r="C18" s="113" t="s">
        <v>132</v>
      </c>
      <c r="D18" s="114" t="s">
        <v>22</v>
      </c>
      <c r="E18" s="115">
        <v>183.34000000000003</v>
      </c>
    </row>
    <row r="19" spans="1:5" ht="15" thickTop="1" x14ac:dyDescent="0.35">
      <c r="A19" s="72" t="s">
        <v>31</v>
      </c>
      <c r="B19" s="45" t="s">
        <v>33</v>
      </c>
      <c r="C19" s="45" t="s">
        <v>134</v>
      </c>
      <c r="D19" s="45" t="s">
        <v>22</v>
      </c>
      <c r="E19" s="73">
        <f>E2+30</f>
        <v>30</v>
      </c>
    </row>
    <row r="20" spans="1:5" x14ac:dyDescent="0.35">
      <c r="A20" s="64" t="s">
        <v>90</v>
      </c>
      <c r="B20" s="49" t="s">
        <v>33</v>
      </c>
      <c r="C20" s="49" t="s">
        <v>134</v>
      </c>
      <c r="D20" s="49" t="s">
        <v>22</v>
      </c>
      <c r="E20" s="65">
        <f>E3+30</f>
        <v>30</v>
      </c>
    </row>
    <row r="21" spans="1:5" x14ac:dyDescent="0.35">
      <c r="A21" s="66" t="s">
        <v>92</v>
      </c>
      <c r="B21" s="52" t="s">
        <v>33</v>
      </c>
      <c r="C21" s="52" t="s">
        <v>134</v>
      </c>
      <c r="D21" s="52" t="s">
        <v>22</v>
      </c>
      <c r="E21" s="67">
        <f>E4+30</f>
        <v>30</v>
      </c>
    </row>
    <row r="22" spans="1:5" x14ac:dyDescent="0.35">
      <c r="A22" s="68" t="s">
        <v>94</v>
      </c>
      <c r="B22" s="55" t="s">
        <v>33</v>
      </c>
      <c r="C22" s="55" t="s">
        <v>134</v>
      </c>
      <c r="D22" s="55" t="s">
        <v>22</v>
      </c>
      <c r="E22" s="69">
        <f>E5</f>
        <v>0</v>
      </c>
    </row>
    <row r="23" spans="1:5" x14ac:dyDescent="0.35">
      <c r="A23" s="70" t="s">
        <v>133</v>
      </c>
      <c r="B23" s="43"/>
      <c r="C23" s="43" t="s">
        <v>134</v>
      </c>
      <c r="D23" s="43" t="s">
        <v>22</v>
      </c>
      <c r="E23" s="71">
        <v>0</v>
      </c>
    </row>
    <row r="24" spans="1:5" x14ac:dyDescent="0.35">
      <c r="A24" s="74" t="s">
        <v>31</v>
      </c>
      <c r="B24" s="44" t="s">
        <v>113</v>
      </c>
      <c r="C24" s="44" t="s">
        <v>134</v>
      </c>
      <c r="D24" s="44" t="s">
        <v>22</v>
      </c>
      <c r="E24" s="75">
        <f>E7+30</f>
        <v>340.22</v>
      </c>
    </row>
    <row r="25" spans="1:5" x14ac:dyDescent="0.35">
      <c r="A25" s="64" t="s">
        <v>90</v>
      </c>
      <c r="B25" s="49" t="s">
        <v>113</v>
      </c>
      <c r="C25" s="49" t="s">
        <v>134</v>
      </c>
      <c r="D25" s="49" t="s">
        <v>22</v>
      </c>
      <c r="E25" s="65">
        <f>E8+30</f>
        <v>155.55999999999995</v>
      </c>
    </row>
    <row r="26" spans="1:5" x14ac:dyDescent="0.35">
      <c r="A26" s="66" t="s">
        <v>92</v>
      </c>
      <c r="B26" s="52" t="s">
        <v>113</v>
      </c>
      <c r="C26" s="52" t="s">
        <v>134</v>
      </c>
      <c r="D26" s="52" t="s">
        <v>22</v>
      </c>
      <c r="E26" s="67">
        <f>E9+30</f>
        <v>340.22</v>
      </c>
    </row>
    <row r="27" spans="1:5" x14ac:dyDescent="0.35">
      <c r="A27" s="76" t="s">
        <v>94</v>
      </c>
      <c r="B27" s="57" t="s">
        <v>113</v>
      </c>
      <c r="C27" s="57" t="s">
        <v>134</v>
      </c>
      <c r="D27" s="57" t="s">
        <v>22</v>
      </c>
      <c r="E27" s="77">
        <f>E10</f>
        <v>0</v>
      </c>
    </row>
    <row r="28" spans="1:5" x14ac:dyDescent="0.35">
      <c r="A28" s="74" t="s">
        <v>31</v>
      </c>
      <c r="B28" s="44" t="s">
        <v>114</v>
      </c>
      <c r="C28" s="44" t="s">
        <v>134</v>
      </c>
      <c r="D28" s="44" t="s">
        <v>22</v>
      </c>
      <c r="E28" s="75">
        <f>E11+30</f>
        <v>245.53999999999996</v>
      </c>
    </row>
    <row r="29" spans="1:5" x14ac:dyDescent="0.35">
      <c r="A29" s="64" t="s">
        <v>90</v>
      </c>
      <c r="B29" s="49" t="s">
        <v>114</v>
      </c>
      <c r="C29" s="49" t="s">
        <v>134</v>
      </c>
      <c r="D29" s="49" t="s">
        <v>22</v>
      </c>
      <c r="E29" s="65">
        <f>E12+30</f>
        <v>81.230000000000018</v>
      </c>
    </row>
    <row r="30" spans="1:5" x14ac:dyDescent="0.35">
      <c r="A30" s="66" t="s">
        <v>92</v>
      </c>
      <c r="B30" s="52" t="s">
        <v>114</v>
      </c>
      <c r="C30" s="52" t="s">
        <v>134</v>
      </c>
      <c r="D30" s="52" t="s">
        <v>22</v>
      </c>
      <c r="E30" s="67">
        <f>E13+30</f>
        <v>245.53999999999996</v>
      </c>
    </row>
    <row r="31" spans="1:5" x14ac:dyDescent="0.35">
      <c r="A31" s="76" t="s">
        <v>94</v>
      </c>
      <c r="B31" s="57" t="s">
        <v>114</v>
      </c>
      <c r="C31" s="57" t="s">
        <v>134</v>
      </c>
      <c r="D31" s="57" t="s">
        <v>22</v>
      </c>
      <c r="E31" s="77">
        <f>E14</f>
        <v>31.360000000000014</v>
      </c>
    </row>
    <row r="32" spans="1:5" x14ac:dyDescent="0.35">
      <c r="A32" s="74" t="s">
        <v>31</v>
      </c>
      <c r="B32" s="44" t="s">
        <v>63</v>
      </c>
      <c r="C32" s="44" t="s">
        <v>134</v>
      </c>
      <c r="D32" s="44" t="s">
        <v>22</v>
      </c>
      <c r="E32" s="75">
        <f>E15+30</f>
        <v>466.58000000000015</v>
      </c>
    </row>
    <row r="33" spans="1:5" x14ac:dyDescent="0.35">
      <c r="A33" s="64" t="s">
        <v>90</v>
      </c>
      <c r="B33" s="49" t="s">
        <v>63</v>
      </c>
      <c r="C33" s="49" t="s">
        <v>134</v>
      </c>
      <c r="D33" s="49" t="s">
        <v>22</v>
      </c>
      <c r="E33" s="65">
        <f>E16+30</f>
        <v>254.78999999999996</v>
      </c>
    </row>
    <row r="34" spans="1:5" x14ac:dyDescent="0.35">
      <c r="A34" s="66" t="s">
        <v>92</v>
      </c>
      <c r="B34" s="52" t="s">
        <v>63</v>
      </c>
      <c r="C34" s="52" t="s">
        <v>134</v>
      </c>
      <c r="D34" s="52" t="s">
        <v>22</v>
      </c>
      <c r="E34" s="67">
        <f>E17+30</f>
        <v>466.58000000000015</v>
      </c>
    </row>
    <row r="35" spans="1:5" ht="15" thickBot="1" x14ac:dyDescent="0.4">
      <c r="A35" s="78" t="s">
        <v>94</v>
      </c>
      <c r="B35" s="58" t="s">
        <v>63</v>
      </c>
      <c r="C35" s="58" t="s">
        <v>134</v>
      </c>
      <c r="D35" s="58" t="s">
        <v>22</v>
      </c>
      <c r="E35" s="79">
        <f>E18</f>
        <v>183.34000000000003</v>
      </c>
    </row>
    <row r="36" spans="1:5" ht="15" thickTop="1" x14ac:dyDescent="0.35">
      <c r="A36" s="84" t="s">
        <v>31</v>
      </c>
      <c r="B36" s="85" t="s">
        <v>33</v>
      </c>
      <c r="C36" s="85" t="s">
        <v>132</v>
      </c>
      <c r="D36" s="86" t="s">
        <v>116</v>
      </c>
      <c r="E36" s="87">
        <v>563.14</v>
      </c>
    </row>
    <row r="37" spans="1:5" x14ac:dyDescent="0.35">
      <c r="A37" s="88" t="s">
        <v>90</v>
      </c>
      <c r="B37" s="89" t="s">
        <v>33</v>
      </c>
      <c r="C37" s="89" t="s">
        <v>132</v>
      </c>
      <c r="D37" s="130" t="s">
        <v>116</v>
      </c>
      <c r="E37" s="90">
        <f>E3</f>
        <v>0</v>
      </c>
    </row>
    <row r="38" spans="1:5" x14ac:dyDescent="0.35">
      <c r="A38" s="91" t="s">
        <v>92</v>
      </c>
      <c r="B38" s="27" t="s">
        <v>33</v>
      </c>
      <c r="C38" s="27" t="s">
        <v>132</v>
      </c>
      <c r="D38" s="92" t="s">
        <v>116</v>
      </c>
      <c r="E38" s="93">
        <v>563.14</v>
      </c>
    </row>
    <row r="39" spans="1:5" x14ac:dyDescent="0.35">
      <c r="A39" s="94" t="s">
        <v>94</v>
      </c>
      <c r="B39" s="95" t="s">
        <v>33</v>
      </c>
      <c r="C39" s="95" t="s">
        <v>132</v>
      </c>
      <c r="D39" s="131" t="s">
        <v>116</v>
      </c>
      <c r="E39" s="96">
        <f>E5</f>
        <v>0</v>
      </c>
    </row>
    <row r="40" spans="1:5" x14ac:dyDescent="0.35">
      <c r="A40" s="102" t="s">
        <v>31</v>
      </c>
      <c r="B40" s="103" t="s">
        <v>113</v>
      </c>
      <c r="C40" s="103" t="s">
        <v>132</v>
      </c>
      <c r="D40" s="86" t="s">
        <v>116</v>
      </c>
      <c r="E40" s="104">
        <v>1028.46</v>
      </c>
    </row>
    <row r="41" spans="1:5" x14ac:dyDescent="0.35">
      <c r="A41" s="88" t="s">
        <v>90</v>
      </c>
      <c r="B41" s="89" t="s">
        <v>113</v>
      </c>
      <c r="C41" s="89" t="s">
        <v>132</v>
      </c>
      <c r="D41" s="130" t="s">
        <v>116</v>
      </c>
      <c r="E41" s="90">
        <f>E8</f>
        <v>125.55999999999995</v>
      </c>
    </row>
    <row r="42" spans="1:5" x14ac:dyDescent="0.35">
      <c r="A42" s="91" t="s">
        <v>92</v>
      </c>
      <c r="B42" s="27" t="s">
        <v>113</v>
      </c>
      <c r="C42" s="27" t="s">
        <v>132</v>
      </c>
      <c r="D42" s="92" t="s">
        <v>116</v>
      </c>
      <c r="E42" s="93">
        <v>1028.46</v>
      </c>
    </row>
    <row r="43" spans="1:5" x14ac:dyDescent="0.35">
      <c r="A43" s="109" t="s">
        <v>94</v>
      </c>
      <c r="B43" s="110" t="s">
        <v>113</v>
      </c>
      <c r="C43" s="110" t="s">
        <v>132</v>
      </c>
      <c r="D43" s="131" t="s">
        <v>116</v>
      </c>
      <c r="E43" s="111">
        <f>E10</f>
        <v>0</v>
      </c>
    </row>
    <row r="44" spans="1:5" x14ac:dyDescent="0.35">
      <c r="A44" s="102" t="s">
        <v>31</v>
      </c>
      <c r="B44" s="103" t="s">
        <v>114</v>
      </c>
      <c r="C44" s="103" t="s">
        <v>132</v>
      </c>
      <c r="D44" s="86" t="s">
        <v>116</v>
      </c>
      <c r="E44" s="104">
        <v>886.43999999999994</v>
      </c>
    </row>
    <row r="45" spans="1:5" x14ac:dyDescent="0.35">
      <c r="A45" s="88" t="s">
        <v>90</v>
      </c>
      <c r="B45" s="89" t="s">
        <v>114</v>
      </c>
      <c r="C45" s="89" t="s">
        <v>132</v>
      </c>
      <c r="D45" s="130" t="s">
        <v>116</v>
      </c>
      <c r="E45" s="90">
        <f>E12</f>
        <v>51.230000000000018</v>
      </c>
    </row>
    <row r="46" spans="1:5" x14ac:dyDescent="0.35">
      <c r="A46" s="91" t="s">
        <v>92</v>
      </c>
      <c r="B46" s="27" t="s">
        <v>114</v>
      </c>
      <c r="C46" s="27" t="s">
        <v>132</v>
      </c>
      <c r="D46" s="92" t="s">
        <v>116</v>
      </c>
      <c r="E46" s="93">
        <v>886.43999999999994</v>
      </c>
    </row>
    <row r="47" spans="1:5" x14ac:dyDescent="0.35">
      <c r="A47" s="109" t="s">
        <v>94</v>
      </c>
      <c r="B47" s="110" t="s">
        <v>114</v>
      </c>
      <c r="C47" s="110" t="s">
        <v>132</v>
      </c>
      <c r="D47" s="131" t="s">
        <v>116</v>
      </c>
      <c r="E47" s="111">
        <f>E14</f>
        <v>31.360000000000014</v>
      </c>
    </row>
    <row r="48" spans="1:5" x14ac:dyDescent="0.35">
      <c r="A48" s="84" t="s">
        <v>31</v>
      </c>
      <c r="B48" s="85" t="s">
        <v>63</v>
      </c>
      <c r="C48" s="85" t="s">
        <v>132</v>
      </c>
      <c r="D48" s="86" t="s">
        <v>116</v>
      </c>
      <c r="E48" s="87">
        <v>1217.98</v>
      </c>
    </row>
    <row r="49" spans="1:5" x14ac:dyDescent="0.35">
      <c r="A49" s="88" t="s">
        <v>90</v>
      </c>
      <c r="B49" s="89" t="s">
        <v>63</v>
      </c>
      <c r="C49" s="89" t="s">
        <v>132</v>
      </c>
      <c r="D49" s="130" t="s">
        <v>116</v>
      </c>
      <c r="E49" s="90">
        <f>E16</f>
        <v>224.78999999999996</v>
      </c>
    </row>
    <row r="50" spans="1:5" x14ac:dyDescent="0.35">
      <c r="A50" s="91" t="s">
        <v>92</v>
      </c>
      <c r="B50" s="27" t="s">
        <v>63</v>
      </c>
      <c r="C50" s="27" t="s">
        <v>132</v>
      </c>
      <c r="D50" s="92" t="s">
        <v>116</v>
      </c>
      <c r="E50" s="93">
        <v>1217.98</v>
      </c>
    </row>
    <row r="51" spans="1:5" ht="15" thickBot="1" x14ac:dyDescent="0.4">
      <c r="A51" s="112" t="s">
        <v>94</v>
      </c>
      <c r="B51" s="113" t="s">
        <v>63</v>
      </c>
      <c r="C51" s="113" t="s">
        <v>132</v>
      </c>
      <c r="D51" s="132" t="s">
        <v>116</v>
      </c>
      <c r="E51" s="115">
        <f>E18</f>
        <v>183.34000000000003</v>
      </c>
    </row>
    <row r="52" spans="1:5" ht="15" thickTop="1" x14ac:dyDescent="0.35">
      <c r="A52" s="72" t="s">
        <v>31</v>
      </c>
      <c r="B52" s="45" t="s">
        <v>33</v>
      </c>
      <c r="C52" s="45" t="s">
        <v>134</v>
      </c>
      <c r="D52" s="45" t="s">
        <v>116</v>
      </c>
      <c r="E52" s="73">
        <f>E36+30</f>
        <v>593.14</v>
      </c>
    </row>
    <row r="53" spans="1:5" x14ac:dyDescent="0.35">
      <c r="A53" s="64" t="s">
        <v>90</v>
      </c>
      <c r="B53" s="49" t="s">
        <v>33</v>
      </c>
      <c r="C53" s="49" t="s">
        <v>134</v>
      </c>
      <c r="D53" s="51" t="s">
        <v>116</v>
      </c>
      <c r="E53" s="65">
        <f>E37+30</f>
        <v>30</v>
      </c>
    </row>
    <row r="54" spans="1:5" x14ac:dyDescent="0.35">
      <c r="A54" s="66" t="s">
        <v>92</v>
      </c>
      <c r="B54" s="52" t="s">
        <v>33</v>
      </c>
      <c r="C54" s="52" t="s">
        <v>134</v>
      </c>
      <c r="D54" s="54" t="s">
        <v>116</v>
      </c>
      <c r="E54" s="67">
        <f>E38+30</f>
        <v>593.14</v>
      </c>
    </row>
    <row r="55" spans="1:5" x14ac:dyDescent="0.35">
      <c r="A55" s="76" t="s">
        <v>94</v>
      </c>
      <c r="B55" s="57" t="s">
        <v>33</v>
      </c>
      <c r="C55" s="57" t="s">
        <v>134</v>
      </c>
      <c r="D55" s="59" t="s">
        <v>116</v>
      </c>
      <c r="E55" s="77">
        <f>E39</f>
        <v>0</v>
      </c>
    </row>
    <row r="56" spans="1:5" x14ac:dyDescent="0.35">
      <c r="A56" s="74" t="s">
        <v>31</v>
      </c>
      <c r="B56" s="44" t="s">
        <v>113</v>
      </c>
      <c r="C56" s="44" t="s">
        <v>134</v>
      </c>
      <c r="D56" s="46" t="s">
        <v>116</v>
      </c>
      <c r="E56" s="75">
        <f>E40+30</f>
        <v>1058.46</v>
      </c>
    </row>
    <row r="57" spans="1:5" x14ac:dyDescent="0.35">
      <c r="A57" s="64" t="s">
        <v>90</v>
      </c>
      <c r="B57" s="49" t="s">
        <v>113</v>
      </c>
      <c r="C57" s="49" t="s">
        <v>134</v>
      </c>
      <c r="D57" s="51" t="s">
        <v>116</v>
      </c>
      <c r="E57" s="65">
        <f>E41+30</f>
        <v>155.55999999999995</v>
      </c>
    </row>
    <row r="58" spans="1:5" x14ac:dyDescent="0.35">
      <c r="A58" s="66" t="s">
        <v>92</v>
      </c>
      <c r="B58" s="52" t="s">
        <v>113</v>
      </c>
      <c r="C58" s="52" t="s">
        <v>134</v>
      </c>
      <c r="D58" s="54" t="s">
        <v>116</v>
      </c>
      <c r="E58" s="67">
        <f>E42+30</f>
        <v>1058.46</v>
      </c>
    </row>
    <row r="59" spans="1:5" x14ac:dyDescent="0.35">
      <c r="A59" s="76" t="s">
        <v>94</v>
      </c>
      <c r="B59" s="57" t="s">
        <v>113</v>
      </c>
      <c r="C59" s="57" t="s">
        <v>134</v>
      </c>
      <c r="D59" s="59" t="s">
        <v>116</v>
      </c>
      <c r="E59" s="77">
        <f>E43</f>
        <v>0</v>
      </c>
    </row>
    <row r="60" spans="1:5" x14ac:dyDescent="0.35">
      <c r="A60" s="74" t="s">
        <v>31</v>
      </c>
      <c r="B60" s="44" t="s">
        <v>114</v>
      </c>
      <c r="C60" s="44" t="s">
        <v>134</v>
      </c>
      <c r="D60" s="46" t="s">
        <v>116</v>
      </c>
      <c r="E60" s="75">
        <f>E44+30</f>
        <v>916.43999999999994</v>
      </c>
    </row>
    <row r="61" spans="1:5" x14ac:dyDescent="0.35">
      <c r="A61" s="64" t="s">
        <v>90</v>
      </c>
      <c r="B61" s="49" t="s">
        <v>114</v>
      </c>
      <c r="C61" s="49" t="s">
        <v>134</v>
      </c>
      <c r="D61" s="51" t="s">
        <v>116</v>
      </c>
      <c r="E61" s="65">
        <f>E45+30</f>
        <v>81.230000000000018</v>
      </c>
    </row>
    <row r="62" spans="1:5" x14ac:dyDescent="0.35">
      <c r="A62" s="66" t="s">
        <v>92</v>
      </c>
      <c r="B62" s="52" t="s">
        <v>114</v>
      </c>
      <c r="C62" s="52" t="s">
        <v>134</v>
      </c>
      <c r="D62" s="54" t="s">
        <v>116</v>
      </c>
      <c r="E62" s="67">
        <f>E46+30</f>
        <v>916.43999999999994</v>
      </c>
    </row>
    <row r="63" spans="1:5" x14ac:dyDescent="0.35">
      <c r="A63" s="76" t="s">
        <v>94</v>
      </c>
      <c r="B63" s="57" t="s">
        <v>114</v>
      </c>
      <c r="C63" s="57" t="s">
        <v>134</v>
      </c>
      <c r="D63" s="59" t="s">
        <v>116</v>
      </c>
      <c r="E63" s="77">
        <f>E47</f>
        <v>31.360000000000014</v>
      </c>
    </row>
    <row r="64" spans="1:5" x14ac:dyDescent="0.35">
      <c r="A64" s="74" t="s">
        <v>31</v>
      </c>
      <c r="B64" s="44" t="s">
        <v>63</v>
      </c>
      <c r="C64" s="44" t="s">
        <v>134</v>
      </c>
      <c r="D64" s="46" t="s">
        <v>116</v>
      </c>
      <c r="E64" s="75">
        <f>E48+30</f>
        <v>1247.98</v>
      </c>
    </row>
    <row r="65" spans="1:5" x14ac:dyDescent="0.35">
      <c r="A65" s="64" t="s">
        <v>90</v>
      </c>
      <c r="B65" s="49" t="s">
        <v>63</v>
      </c>
      <c r="C65" s="49" t="s">
        <v>134</v>
      </c>
      <c r="D65" s="51" t="s">
        <v>116</v>
      </c>
      <c r="E65" s="65">
        <f>E49+30</f>
        <v>254.78999999999996</v>
      </c>
    </row>
    <row r="66" spans="1:5" x14ac:dyDescent="0.35">
      <c r="A66" s="66" t="s">
        <v>92</v>
      </c>
      <c r="B66" s="52" t="s">
        <v>63</v>
      </c>
      <c r="C66" s="52" t="s">
        <v>134</v>
      </c>
      <c r="D66" s="54" t="s">
        <v>116</v>
      </c>
      <c r="E66" s="67">
        <f>E50+30</f>
        <v>1247.98</v>
      </c>
    </row>
    <row r="67" spans="1:5" ht="15" thickBot="1" x14ac:dyDescent="0.4">
      <c r="A67" s="78" t="s">
        <v>94</v>
      </c>
      <c r="B67" s="58" t="s">
        <v>63</v>
      </c>
      <c r="C67" s="58" t="s">
        <v>134</v>
      </c>
      <c r="D67" s="60" t="s">
        <v>116</v>
      </c>
      <c r="E67" s="79">
        <f>E51</f>
        <v>183.34000000000003</v>
      </c>
    </row>
    <row r="68" spans="1:5" ht="15" thickTop="1" x14ac:dyDescent="0.35">
      <c r="A68" s="84" t="s">
        <v>31</v>
      </c>
      <c r="B68" s="85" t="s">
        <v>33</v>
      </c>
      <c r="C68" s="85" t="s">
        <v>132</v>
      </c>
      <c r="D68" s="106" t="s">
        <v>62</v>
      </c>
      <c r="E68" s="87">
        <v>1120</v>
      </c>
    </row>
    <row r="69" spans="1:5" x14ac:dyDescent="0.35">
      <c r="A69" s="88" t="s">
        <v>90</v>
      </c>
      <c r="B69" s="89" t="s">
        <v>33</v>
      </c>
      <c r="C69" s="89" t="s">
        <v>132</v>
      </c>
      <c r="D69" s="105" t="s">
        <v>62</v>
      </c>
      <c r="E69" s="90">
        <v>1002.39</v>
      </c>
    </row>
    <row r="70" spans="1:5" x14ac:dyDescent="0.35">
      <c r="A70" s="91" t="s">
        <v>92</v>
      </c>
      <c r="B70" s="27" t="s">
        <v>33</v>
      </c>
      <c r="C70" s="27" t="s">
        <v>132</v>
      </c>
      <c r="D70" s="97" t="s">
        <v>62</v>
      </c>
      <c r="E70" s="93">
        <v>1120</v>
      </c>
    </row>
    <row r="71" spans="1:5" x14ac:dyDescent="0.35">
      <c r="A71" s="94" t="s">
        <v>94</v>
      </c>
      <c r="B71" s="95" t="s">
        <v>33</v>
      </c>
      <c r="C71" s="95" t="s">
        <v>132</v>
      </c>
      <c r="D71" s="108" t="s">
        <v>62</v>
      </c>
      <c r="E71" s="96">
        <v>262.5</v>
      </c>
    </row>
    <row r="72" spans="1:5" x14ac:dyDescent="0.35">
      <c r="A72" s="102" t="s">
        <v>31</v>
      </c>
      <c r="B72" s="103" t="s">
        <v>113</v>
      </c>
      <c r="C72" s="103" t="s">
        <v>132</v>
      </c>
      <c r="D72" s="106" t="s">
        <v>62</v>
      </c>
      <c r="E72" s="104">
        <v>1740.44</v>
      </c>
    </row>
    <row r="73" spans="1:5" x14ac:dyDescent="0.35">
      <c r="A73" s="88" t="s">
        <v>90</v>
      </c>
      <c r="B73" s="89" t="s">
        <v>113</v>
      </c>
      <c r="C73" s="89" t="s">
        <v>132</v>
      </c>
      <c r="D73" s="105" t="s">
        <v>62</v>
      </c>
      <c r="E73" s="90">
        <v>1555.78</v>
      </c>
    </row>
    <row r="74" spans="1:5" x14ac:dyDescent="0.35">
      <c r="A74" s="91" t="s">
        <v>92</v>
      </c>
      <c r="B74" s="27" t="s">
        <v>113</v>
      </c>
      <c r="C74" s="27" t="s">
        <v>132</v>
      </c>
      <c r="D74" s="97" t="s">
        <v>62</v>
      </c>
      <c r="E74" s="93">
        <v>1740.44</v>
      </c>
    </row>
    <row r="75" spans="1:5" x14ac:dyDescent="0.35">
      <c r="A75" s="109" t="s">
        <v>94</v>
      </c>
      <c r="B75" s="110" t="s">
        <v>113</v>
      </c>
      <c r="C75" s="110" t="s">
        <v>132</v>
      </c>
      <c r="D75" s="108" t="s">
        <v>62</v>
      </c>
      <c r="E75" s="111">
        <v>525</v>
      </c>
    </row>
    <row r="76" spans="1:5" x14ac:dyDescent="0.35">
      <c r="A76" s="102" t="s">
        <v>31</v>
      </c>
      <c r="B76" s="103" t="s">
        <v>114</v>
      </c>
      <c r="C76" s="103" t="s">
        <v>132</v>
      </c>
      <c r="D76" s="106" t="s">
        <v>62</v>
      </c>
      <c r="E76" s="104">
        <v>1551.08</v>
      </c>
    </row>
    <row r="77" spans="1:5" x14ac:dyDescent="0.35">
      <c r="A77" s="88" t="s">
        <v>90</v>
      </c>
      <c r="B77" s="89" t="s">
        <v>114</v>
      </c>
      <c r="C77" s="89" t="s">
        <v>132</v>
      </c>
      <c r="D77" s="105" t="s">
        <v>62</v>
      </c>
      <c r="E77" s="90">
        <v>1386.77</v>
      </c>
    </row>
    <row r="78" spans="1:5" x14ac:dyDescent="0.35">
      <c r="A78" s="91" t="s">
        <v>92</v>
      </c>
      <c r="B78" s="27" t="s">
        <v>114</v>
      </c>
      <c r="C78" s="27" t="s">
        <v>132</v>
      </c>
      <c r="D78" s="97" t="s">
        <v>62</v>
      </c>
      <c r="E78" s="93">
        <v>1551.08</v>
      </c>
    </row>
    <row r="79" spans="1:5" x14ac:dyDescent="0.35">
      <c r="A79" s="109" t="s">
        <v>94</v>
      </c>
      <c r="B79" s="110" t="s">
        <v>114</v>
      </c>
      <c r="C79" s="110" t="s">
        <v>132</v>
      </c>
      <c r="D79" s="108" t="s">
        <v>62</v>
      </c>
      <c r="E79" s="111">
        <v>696</v>
      </c>
    </row>
    <row r="80" spans="1:5" x14ac:dyDescent="0.35">
      <c r="A80" s="84" t="s">
        <v>31</v>
      </c>
      <c r="B80" s="85" t="s">
        <v>63</v>
      </c>
      <c r="C80" s="85" t="s">
        <v>132</v>
      </c>
      <c r="D80" s="106" t="s">
        <v>62</v>
      </c>
      <c r="E80" s="87">
        <v>1993.14</v>
      </c>
    </row>
    <row r="81" spans="1:5" x14ac:dyDescent="0.35">
      <c r="A81" s="88" t="s">
        <v>90</v>
      </c>
      <c r="B81" s="89" t="s">
        <v>63</v>
      </c>
      <c r="C81" s="89" t="s">
        <v>132</v>
      </c>
      <c r="D81" s="105" t="s">
        <v>62</v>
      </c>
      <c r="E81" s="90">
        <v>1781.35</v>
      </c>
    </row>
    <row r="82" spans="1:5" x14ac:dyDescent="0.35">
      <c r="A82" s="91" t="s">
        <v>92</v>
      </c>
      <c r="B82" s="27" t="s">
        <v>63</v>
      </c>
      <c r="C82" s="27" t="s">
        <v>132</v>
      </c>
      <c r="D82" s="97" t="s">
        <v>62</v>
      </c>
      <c r="E82" s="93">
        <v>1993.14</v>
      </c>
    </row>
    <row r="83" spans="1:5" ht="15" thickBot="1" x14ac:dyDescent="0.4">
      <c r="A83" s="112" t="s">
        <v>94</v>
      </c>
      <c r="B83" s="113" t="s">
        <v>63</v>
      </c>
      <c r="C83" s="113" t="s">
        <v>132</v>
      </c>
      <c r="D83" s="114" t="s">
        <v>62</v>
      </c>
      <c r="E83" s="115">
        <v>958.5</v>
      </c>
    </row>
    <row r="84" spans="1:5" ht="15" thickTop="1" x14ac:dyDescent="0.35">
      <c r="A84" s="72" t="s">
        <v>31</v>
      </c>
      <c r="B84" s="45" t="s">
        <v>33</v>
      </c>
      <c r="C84" s="45" t="s">
        <v>134</v>
      </c>
      <c r="D84" s="47" t="s">
        <v>62</v>
      </c>
      <c r="E84" s="73">
        <f>E68+30</f>
        <v>1150</v>
      </c>
    </row>
    <row r="85" spans="1:5" x14ac:dyDescent="0.35">
      <c r="A85" s="64" t="s">
        <v>90</v>
      </c>
      <c r="B85" s="49" t="s">
        <v>33</v>
      </c>
      <c r="C85" s="49" t="s">
        <v>134</v>
      </c>
      <c r="D85" s="50" t="s">
        <v>62</v>
      </c>
      <c r="E85" s="65">
        <f>E69+30</f>
        <v>1032.3899999999999</v>
      </c>
    </row>
    <row r="86" spans="1:5" x14ac:dyDescent="0.35">
      <c r="A86" s="66" t="s">
        <v>92</v>
      </c>
      <c r="B86" s="52" t="s">
        <v>33</v>
      </c>
      <c r="C86" s="52" t="s">
        <v>134</v>
      </c>
      <c r="D86" s="53" t="s">
        <v>62</v>
      </c>
      <c r="E86" s="67">
        <f>E70+30</f>
        <v>1150</v>
      </c>
    </row>
    <row r="87" spans="1:5" x14ac:dyDescent="0.35">
      <c r="A87" s="76" t="s">
        <v>94</v>
      </c>
      <c r="B87" s="57" t="s">
        <v>33</v>
      </c>
      <c r="C87" s="57" t="s">
        <v>134</v>
      </c>
      <c r="D87" s="56" t="s">
        <v>62</v>
      </c>
      <c r="E87" s="77">
        <f>E71</f>
        <v>262.5</v>
      </c>
    </row>
    <row r="88" spans="1:5" x14ac:dyDescent="0.35">
      <c r="A88" s="74" t="s">
        <v>31</v>
      </c>
      <c r="B88" s="44" t="s">
        <v>113</v>
      </c>
      <c r="C88" s="44" t="s">
        <v>134</v>
      </c>
      <c r="D88" s="48" t="s">
        <v>62</v>
      </c>
      <c r="E88" s="75">
        <f>E72+30</f>
        <v>1770.44</v>
      </c>
    </row>
    <row r="89" spans="1:5" x14ac:dyDescent="0.35">
      <c r="A89" s="64" t="s">
        <v>90</v>
      </c>
      <c r="B89" s="49" t="s">
        <v>113</v>
      </c>
      <c r="C89" s="49" t="s">
        <v>134</v>
      </c>
      <c r="D89" s="50" t="s">
        <v>62</v>
      </c>
      <c r="E89" s="65">
        <f>E73+30</f>
        <v>1585.78</v>
      </c>
    </row>
    <row r="90" spans="1:5" x14ac:dyDescent="0.35">
      <c r="A90" s="66" t="s">
        <v>92</v>
      </c>
      <c r="B90" s="52" t="s">
        <v>113</v>
      </c>
      <c r="C90" s="52" t="s">
        <v>134</v>
      </c>
      <c r="D90" s="53" t="s">
        <v>62</v>
      </c>
      <c r="E90" s="67">
        <f>E74+30</f>
        <v>1770.44</v>
      </c>
    </row>
    <row r="91" spans="1:5" x14ac:dyDescent="0.35">
      <c r="A91" s="76" t="s">
        <v>94</v>
      </c>
      <c r="B91" s="57" t="s">
        <v>113</v>
      </c>
      <c r="C91" s="57" t="s">
        <v>134</v>
      </c>
      <c r="D91" s="56" t="s">
        <v>62</v>
      </c>
      <c r="E91" s="77">
        <f>E75</f>
        <v>525</v>
      </c>
    </row>
    <row r="92" spans="1:5" x14ac:dyDescent="0.35">
      <c r="A92" s="74" t="s">
        <v>31</v>
      </c>
      <c r="B92" s="44" t="s">
        <v>114</v>
      </c>
      <c r="C92" s="44" t="s">
        <v>134</v>
      </c>
      <c r="D92" s="48" t="s">
        <v>62</v>
      </c>
      <c r="E92" s="75">
        <f>E76+30</f>
        <v>1581.08</v>
      </c>
    </row>
    <row r="93" spans="1:5" x14ac:dyDescent="0.35">
      <c r="A93" s="64" t="s">
        <v>90</v>
      </c>
      <c r="B93" s="49" t="s">
        <v>114</v>
      </c>
      <c r="C93" s="49" t="s">
        <v>134</v>
      </c>
      <c r="D93" s="50" t="s">
        <v>62</v>
      </c>
      <c r="E93" s="65">
        <f>E77+30</f>
        <v>1416.77</v>
      </c>
    </row>
    <row r="94" spans="1:5" x14ac:dyDescent="0.35">
      <c r="A94" s="66" t="s">
        <v>92</v>
      </c>
      <c r="B94" s="52" t="s">
        <v>114</v>
      </c>
      <c r="C94" s="52" t="s">
        <v>134</v>
      </c>
      <c r="D94" s="53" t="s">
        <v>62</v>
      </c>
      <c r="E94" s="67">
        <f>E78+30</f>
        <v>1581.08</v>
      </c>
    </row>
    <row r="95" spans="1:5" x14ac:dyDescent="0.35">
      <c r="A95" s="76" t="s">
        <v>94</v>
      </c>
      <c r="B95" s="57" t="s">
        <v>114</v>
      </c>
      <c r="C95" s="57" t="s">
        <v>134</v>
      </c>
      <c r="D95" s="57" t="s">
        <v>62</v>
      </c>
      <c r="E95" s="77">
        <f>E79</f>
        <v>696</v>
      </c>
    </row>
    <row r="96" spans="1:5" x14ac:dyDescent="0.35">
      <c r="A96" s="74" t="s">
        <v>31</v>
      </c>
      <c r="B96" s="44" t="s">
        <v>63</v>
      </c>
      <c r="C96" s="44" t="s">
        <v>134</v>
      </c>
      <c r="D96" s="48" t="s">
        <v>62</v>
      </c>
      <c r="E96" s="75">
        <f>E80+30</f>
        <v>2023.14</v>
      </c>
    </row>
    <row r="97" spans="1:5" x14ac:dyDescent="0.35">
      <c r="A97" s="64" t="s">
        <v>90</v>
      </c>
      <c r="B97" s="49" t="s">
        <v>63</v>
      </c>
      <c r="C97" s="49" t="s">
        <v>134</v>
      </c>
      <c r="D97" s="49" t="s">
        <v>62</v>
      </c>
      <c r="E97" s="65">
        <f>E81+30</f>
        <v>1811.35</v>
      </c>
    </row>
    <row r="98" spans="1:5" x14ac:dyDescent="0.35">
      <c r="A98" s="66" t="s">
        <v>92</v>
      </c>
      <c r="B98" s="52" t="s">
        <v>63</v>
      </c>
      <c r="C98" s="52" t="s">
        <v>134</v>
      </c>
      <c r="D98" s="52" t="s">
        <v>62</v>
      </c>
      <c r="E98" s="67">
        <f>E82+30</f>
        <v>2023.14</v>
      </c>
    </row>
    <row r="99" spans="1:5" ht="15" thickBot="1" x14ac:dyDescent="0.4">
      <c r="A99" s="78" t="s">
        <v>94</v>
      </c>
      <c r="B99" s="58" t="s">
        <v>63</v>
      </c>
      <c r="C99" s="58" t="s">
        <v>134</v>
      </c>
      <c r="D99" s="58" t="s">
        <v>62</v>
      </c>
      <c r="E99" s="79">
        <f>E83</f>
        <v>958.5</v>
      </c>
    </row>
    <row r="100" spans="1:5" ht="15" thickTop="1" x14ac:dyDescent="0.35">
      <c r="D100" s="42"/>
    </row>
  </sheetData>
  <autoFilter ref="A1:E99" xr:uid="{00000000-0009-0000-0000-000004000000}"/>
  <dataValidations count="1">
    <dataValidation type="list" allowBlank="1" showInputMessage="1" showErrorMessage="1" sqref="D37:D39 D41:D43 D45:D47 D49:D51 D53:D55 D57:D59 D61:D63 D65:D68 D72 D76 D80 D84 D88 D92 D96" xr:uid="{00000000-0002-0000-0400-000000000000}">
      <formula1>SGIP</formula1>
    </dataValidation>
  </dataValidation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249977111117893"/>
  </sheetPr>
  <dimension ref="A1:E17"/>
  <sheetViews>
    <sheetView workbookViewId="0"/>
  </sheetViews>
  <sheetFormatPr defaultRowHeight="14.5" x14ac:dyDescent="0.35"/>
  <cols>
    <col min="1" max="1" width="5.1796875" customWidth="1"/>
    <col min="3" max="3" width="23.54296875" customWidth="1"/>
    <col min="4" max="4" width="26.26953125" bestFit="1" customWidth="1"/>
    <col min="5" max="5" width="20.7265625" customWidth="1"/>
  </cols>
  <sheetData>
    <row r="1" spans="1:5" x14ac:dyDescent="0.35">
      <c r="A1" t="s">
        <v>135</v>
      </c>
      <c r="B1" t="s">
        <v>136</v>
      </c>
      <c r="C1" t="s">
        <v>137</v>
      </c>
      <c r="E1" t="s">
        <v>138</v>
      </c>
    </row>
    <row r="2" spans="1:5" x14ac:dyDescent="0.35">
      <c r="A2" t="s">
        <v>13</v>
      </c>
      <c r="B2" t="s">
        <v>19</v>
      </c>
      <c r="C2" t="s">
        <v>33</v>
      </c>
      <c r="D2" t="str">
        <f t="shared" ref="D2:D17" si="0">CONCATENATE(A2,B2,C2)</f>
        <v>NoYesEmployee Only</v>
      </c>
      <c r="E2" t="s">
        <v>132</v>
      </c>
    </row>
    <row r="3" spans="1:5" x14ac:dyDescent="0.35">
      <c r="A3" t="s">
        <v>13</v>
      </c>
      <c r="B3" t="s">
        <v>19</v>
      </c>
      <c r="C3" t="s">
        <v>113</v>
      </c>
      <c r="D3" t="str">
        <f t="shared" si="0"/>
        <v>NoYesEmployee &amp; Spouse</v>
      </c>
      <c r="E3" t="s">
        <v>134</v>
      </c>
    </row>
    <row r="4" spans="1:5" x14ac:dyDescent="0.35">
      <c r="A4" t="s">
        <v>13</v>
      </c>
      <c r="B4" t="s">
        <v>19</v>
      </c>
      <c r="C4" t="s">
        <v>114</v>
      </c>
      <c r="D4" t="str">
        <f t="shared" si="0"/>
        <v>NoYesEmployee &amp; Children</v>
      </c>
      <c r="E4" t="s">
        <v>132</v>
      </c>
    </row>
    <row r="5" spans="1:5" x14ac:dyDescent="0.35">
      <c r="A5" t="s">
        <v>13</v>
      </c>
      <c r="B5" t="s">
        <v>19</v>
      </c>
      <c r="C5" t="s">
        <v>63</v>
      </c>
      <c r="D5" t="str">
        <f t="shared" si="0"/>
        <v>NoYesEmployee &amp; Family</v>
      </c>
      <c r="E5" t="s">
        <v>134</v>
      </c>
    </row>
    <row r="6" spans="1:5" x14ac:dyDescent="0.35">
      <c r="A6" t="s">
        <v>13</v>
      </c>
      <c r="B6" t="s">
        <v>13</v>
      </c>
      <c r="C6" s="1" t="s">
        <v>33</v>
      </c>
      <c r="D6" t="str">
        <f t="shared" si="0"/>
        <v>NoNoEmployee Only</v>
      </c>
      <c r="E6" t="s">
        <v>132</v>
      </c>
    </row>
    <row r="7" spans="1:5" x14ac:dyDescent="0.35">
      <c r="A7" t="s">
        <v>13</v>
      </c>
      <c r="B7" t="s">
        <v>13</v>
      </c>
      <c r="C7" s="1" t="s">
        <v>113</v>
      </c>
      <c r="D7" t="str">
        <f t="shared" si="0"/>
        <v>NoNoEmployee &amp; Spouse</v>
      </c>
      <c r="E7" t="s">
        <v>132</v>
      </c>
    </row>
    <row r="8" spans="1:5" x14ac:dyDescent="0.35">
      <c r="A8" t="s">
        <v>13</v>
      </c>
      <c r="B8" t="s">
        <v>13</v>
      </c>
      <c r="C8" s="1" t="s">
        <v>114</v>
      </c>
      <c r="D8" t="str">
        <f t="shared" si="0"/>
        <v>NoNoEmployee &amp; Children</v>
      </c>
      <c r="E8" t="s">
        <v>132</v>
      </c>
    </row>
    <row r="9" spans="1:5" x14ac:dyDescent="0.35">
      <c r="A9" t="s">
        <v>13</v>
      </c>
      <c r="B9" t="s">
        <v>13</v>
      </c>
      <c r="C9" s="1" t="s">
        <v>63</v>
      </c>
      <c r="D9" t="str">
        <f t="shared" si="0"/>
        <v>NoNoEmployee &amp; Family</v>
      </c>
      <c r="E9" t="s">
        <v>132</v>
      </c>
    </row>
    <row r="10" spans="1:5" x14ac:dyDescent="0.35">
      <c r="A10" t="s">
        <v>19</v>
      </c>
      <c r="B10" t="s">
        <v>13</v>
      </c>
      <c r="C10" t="s">
        <v>33</v>
      </c>
      <c r="D10" t="str">
        <f t="shared" si="0"/>
        <v>YesNoEmployee Only</v>
      </c>
      <c r="E10" t="s">
        <v>134</v>
      </c>
    </row>
    <row r="11" spans="1:5" x14ac:dyDescent="0.35">
      <c r="A11" t="s">
        <v>19</v>
      </c>
      <c r="B11" t="s">
        <v>13</v>
      </c>
      <c r="C11" t="s">
        <v>113</v>
      </c>
      <c r="D11" t="str">
        <f t="shared" si="0"/>
        <v>YesNoEmployee &amp; Spouse</v>
      </c>
      <c r="E11" t="s">
        <v>134</v>
      </c>
    </row>
    <row r="12" spans="1:5" x14ac:dyDescent="0.35">
      <c r="A12" t="s">
        <v>19</v>
      </c>
      <c r="B12" t="s">
        <v>13</v>
      </c>
      <c r="C12" t="s">
        <v>114</v>
      </c>
      <c r="D12" t="str">
        <f t="shared" si="0"/>
        <v>YesNoEmployee &amp; Children</v>
      </c>
      <c r="E12" t="s">
        <v>134</v>
      </c>
    </row>
    <row r="13" spans="1:5" x14ac:dyDescent="0.35">
      <c r="A13" t="s">
        <v>19</v>
      </c>
      <c r="B13" t="s">
        <v>13</v>
      </c>
      <c r="C13" t="s">
        <v>63</v>
      </c>
      <c r="D13" t="str">
        <f t="shared" si="0"/>
        <v>YesNoEmployee &amp; Family</v>
      </c>
      <c r="E13" t="s">
        <v>134</v>
      </c>
    </row>
    <row r="14" spans="1:5" x14ac:dyDescent="0.35">
      <c r="A14" t="s">
        <v>19</v>
      </c>
      <c r="B14" t="s">
        <v>19</v>
      </c>
      <c r="C14" s="1" t="s">
        <v>33</v>
      </c>
      <c r="D14" t="str">
        <f t="shared" si="0"/>
        <v>YesYesEmployee Only</v>
      </c>
      <c r="E14" t="s">
        <v>134</v>
      </c>
    </row>
    <row r="15" spans="1:5" x14ac:dyDescent="0.35">
      <c r="A15" t="s">
        <v>19</v>
      </c>
      <c r="B15" t="s">
        <v>19</v>
      </c>
      <c r="C15" s="1" t="s">
        <v>113</v>
      </c>
      <c r="D15" t="str">
        <f t="shared" si="0"/>
        <v>YesYesEmployee &amp; Spouse</v>
      </c>
      <c r="E15" t="s">
        <v>134</v>
      </c>
    </row>
    <row r="16" spans="1:5" x14ac:dyDescent="0.35">
      <c r="A16" t="s">
        <v>19</v>
      </c>
      <c r="B16" t="s">
        <v>19</v>
      </c>
      <c r="C16" s="1" t="s">
        <v>114</v>
      </c>
      <c r="D16" t="str">
        <f t="shared" si="0"/>
        <v>YesYesEmployee &amp; Children</v>
      </c>
      <c r="E16" t="s">
        <v>134</v>
      </c>
    </row>
    <row r="17" spans="1:5" x14ac:dyDescent="0.35">
      <c r="A17" t="s">
        <v>19</v>
      </c>
      <c r="B17" t="s">
        <v>19</v>
      </c>
      <c r="C17" s="1" t="s">
        <v>63</v>
      </c>
      <c r="D17" t="str">
        <f t="shared" si="0"/>
        <v>YesYesEmployee &amp; Family</v>
      </c>
      <c r="E17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-0.249977111117893"/>
  </sheetPr>
  <dimension ref="A1:E49"/>
  <sheetViews>
    <sheetView workbookViewId="0">
      <selection activeCell="C26" sqref="C26"/>
    </sheetView>
  </sheetViews>
  <sheetFormatPr defaultRowHeight="14.5" x14ac:dyDescent="0.35"/>
  <cols>
    <col min="1" max="1" width="13.1796875" customWidth="1"/>
    <col min="2" max="2" width="17.81640625" customWidth="1"/>
    <col min="3" max="3" width="17.26953125" bestFit="1" customWidth="1"/>
    <col min="4" max="4" width="14.453125" customWidth="1"/>
    <col min="5" max="5" width="34.1796875" customWidth="1"/>
  </cols>
  <sheetData>
    <row r="1" spans="1:5" x14ac:dyDescent="0.35">
      <c r="A1" t="s">
        <v>89</v>
      </c>
      <c r="E1" t="s">
        <v>139</v>
      </c>
    </row>
    <row r="2" spans="1:5" x14ac:dyDescent="0.35">
      <c r="A2" s="116" t="s">
        <v>4</v>
      </c>
      <c r="B2" s="116" t="s">
        <v>41</v>
      </c>
      <c r="C2" s="116" t="s">
        <v>132</v>
      </c>
      <c r="D2" s="116">
        <v>3.5999999999999997E-2</v>
      </c>
    </row>
    <row r="3" spans="1:5" x14ac:dyDescent="0.35">
      <c r="A3" s="116" t="s">
        <v>91</v>
      </c>
      <c r="B3" s="116" t="s">
        <v>41</v>
      </c>
      <c r="C3" s="116" t="s">
        <v>132</v>
      </c>
      <c r="D3" s="116">
        <v>3.5999999999999997E-2</v>
      </c>
    </row>
    <row r="4" spans="1:5" x14ac:dyDescent="0.35">
      <c r="A4" s="116" t="s">
        <v>93</v>
      </c>
      <c r="B4" s="116" t="s">
        <v>41</v>
      </c>
      <c r="C4" s="116" t="s">
        <v>132</v>
      </c>
      <c r="D4" s="116">
        <v>3.5999999999999997E-2</v>
      </c>
    </row>
    <row r="5" spans="1:5" x14ac:dyDescent="0.35">
      <c r="A5" s="116" t="s">
        <v>95</v>
      </c>
      <c r="B5" s="116" t="s">
        <v>41</v>
      </c>
      <c r="C5" s="116" t="s">
        <v>132</v>
      </c>
      <c r="D5" s="116">
        <v>4.2999999999999997E-2</v>
      </c>
    </row>
    <row r="6" spans="1:5" x14ac:dyDescent="0.35">
      <c r="A6" s="116" t="s">
        <v>96</v>
      </c>
      <c r="B6" s="116" t="s">
        <v>41</v>
      </c>
      <c r="C6" s="116" t="s">
        <v>132</v>
      </c>
      <c r="D6" s="116">
        <v>0.05</v>
      </c>
    </row>
    <row r="7" spans="1:5" x14ac:dyDescent="0.35">
      <c r="A7" s="116" t="s">
        <v>97</v>
      </c>
      <c r="B7" s="116" t="s">
        <v>41</v>
      </c>
      <c r="C7" s="116" t="s">
        <v>132</v>
      </c>
      <c r="D7" s="116">
        <v>0.10199999999999999</v>
      </c>
    </row>
    <row r="8" spans="1:5" x14ac:dyDescent="0.35">
      <c r="A8" s="116" t="s">
        <v>99</v>
      </c>
      <c r="B8" s="116" t="s">
        <v>41</v>
      </c>
      <c r="C8" s="116" t="s">
        <v>132</v>
      </c>
      <c r="D8" s="116">
        <v>0.17</v>
      </c>
    </row>
    <row r="9" spans="1:5" x14ac:dyDescent="0.35">
      <c r="A9" s="116" t="s">
        <v>100</v>
      </c>
      <c r="B9" s="116" t="s">
        <v>41</v>
      </c>
      <c r="C9" s="116" t="s">
        <v>132</v>
      </c>
      <c r="D9" s="116">
        <v>0.30599999999999999</v>
      </c>
    </row>
    <row r="10" spans="1:5" x14ac:dyDescent="0.35">
      <c r="A10" s="116" t="s">
        <v>102</v>
      </c>
      <c r="B10" s="116" t="s">
        <v>41</v>
      </c>
      <c r="C10" s="116" t="s">
        <v>132</v>
      </c>
      <c r="D10" s="116">
        <v>0.47599999999999998</v>
      </c>
    </row>
    <row r="11" spans="1:5" x14ac:dyDescent="0.35">
      <c r="A11" s="116" t="s">
        <v>103</v>
      </c>
      <c r="B11" s="116" t="s">
        <v>41</v>
      </c>
      <c r="C11" s="116" t="s">
        <v>132</v>
      </c>
      <c r="D11" s="116">
        <v>0.64600000000000002</v>
      </c>
    </row>
    <row r="12" spans="1:5" x14ac:dyDescent="0.35">
      <c r="A12" s="116" t="s">
        <v>105</v>
      </c>
      <c r="B12" s="116" t="s">
        <v>41</v>
      </c>
      <c r="C12" s="116" t="s">
        <v>132</v>
      </c>
      <c r="D12" s="116">
        <v>1.216</v>
      </c>
    </row>
    <row r="13" spans="1:5" x14ac:dyDescent="0.35">
      <c r="A13" s="116" t="s">
        <v>106</v>
      </c>
      <c r="B13" s="116" t="s">
        <v>41</v>
      </c>
      <c r="C13" s="116" t="s">
        <v>132</v>
      </c>
      <c r="D13" s="116">
        <v>1.7</v>
      </c>
    </row>
    <row r="14" spans="1:5" x14ac:dyDescent="0.35">
      <c r="A14" t="s">
        <v>4</v>
      </c>
      <c r="B14" t="s">
        <v>41</v>
      </c>
      <c r="C14" t="s">
        <v>134</v>
      </c>
      <c r="D14">
        <v>8.5000000000000006E-2</v>
      </c>
    </row>
    <row r="15" spans="1:5" x14ac:dyDescent="0.35">
      <c r="A15" t="s">
        <v>91</v>
      </c>
      <c r="B15" t="s">
        <v>41</v>
      </c>
      <c r="C15" t="s">
        <v>134</v>
      </c>
      <c r="D15">
        <v>8.5000000000000006E-2</v>
      </c>
    </row>
    <row r="16" spans="1:5" x14ac:dyDescent="0.35">
      <c r="A16" t="s">
        <v>93</v>
      </c>
      <c r="B16" t="s">
        <v>41</v>
      </c>
      <c r="C16" t="s">
        <v>134</v>
      </c>
      <c r="D16">
        <v>8.5000000000000006E-2</v>
      </c>
    </row>
    <row r="17" spans="1:4" x14ac:dyDescent="0.35">
      <c r="A17" t="s">
        <v>95</v>
      </c>
      <c r="B17" t="s">
        <v>41</v>
      </c>
      <c r="C17" t="s">
        <v>134</v>
      </c>
      <c r="D17">
        <v>0.10199999999999999</v>
      </c>
    </row>
    <row r="18" spans="1:4" x14ac:dyDescent="0.35">
      <c r="A18" t="s">
        <v>96</v>
      </c>
      <c r="B18" t="s">
        <v>41</v>
      </c>
      <c r="C18" t="s">
        <v>134</v>
      </c>
      <c r="D18">
        <v>0.11899999999999999</v>
      </c>
    </row>
    <row r="19" spans="1:4" x14ac:dyDescent="0.35">
      <c r="A19" t="s">
        <v>97</v>
      </c>
      <c r="B19" t="s">
        <v>41</v>
      </c>
      <c r="C19" t="s">
        <v>134</v>
      </c>
      <c r="D19">
        <v>0.20399999999999999</v>
      </c>
    </row>
    <row r="20" spans="1:4" x14ac:dyDescent="0.35">
      <c r="A20" t="s">
        <v>99</v>
      </c>
      <c r="B20" t="s">
        <v>41</v>
      </c>
      <c r="C20" t="s">
        <v>134</v>
      </c>
      <c r="D20">
        <v>0.34</v>
      </c>
    </row>
    <row r="21" spans="1:4" x14ac:dyDescent="0.35">
      <c r="A21" t="s">
        <v>100</v>
      </c>
      <c r="B21" t="s">
        <v>41</v>
      </c>
      <c r="C21" t="s">
        <v>134</v>
      </c>
      <c r="D21">
        <v>0.61199999999999999</v>
      </c>
    </row>
    <row r="22" spans="1:4" x14ac:dyDescent="0.35">
      <c r="A22" t="s">
        <v>102</v>
      </c>
      <c r="B22" t="s">
        <v>41</v>
      </c>
      <c r="C22" t="s">
        <v>134</v>
      </c>
      <c r="D22">
        <v>0.95199999999999996</v>
      </c>
    </row>
    <row r="23" spans="1:4" x14ac:dyDescent="0.35">
      <c r="A23" t="s">
        <v>103</v>
      </c>
      <c r="B23" t="s">
        <v>41</v>
      </c>
      <c r="C23" t="s">
        <v>134</v>
      </c>
      <c r="D23">
        <v>1.292</v>
      </c>
    </row>
    <row r="24" spans="1:4" x14ac:dyDescent="0.35">
      <c r="A24" t="s">
        <v>105</v>
      </c>
      <c r="B24" t="s">
        <v>41</v>
      </c>
      <c r="C24" t="s">
        <v>134</v>
      </c>
      <c r="D24">
        <v>2.431</v>
      </c>
    </row>
    <row r="25" spans="1:4" x14ac:dyDescent="0.35">
      <c r="A25" t="s">
        <v>106</v>
      </c>
      <c r="B25" t="s">
        <v>41</v>
      </c>
      <c r="C25" t="s">
        <v>134</v>
      </c>
      <c r="D25">
        <v>3.4</v>
      </c>
    </row>
    <row r="26" spans="1:4" x14ac:dyDescent="0.35">
      <c r="A26" s="116" t="s">
        <v>4</v>
      </c>
      <c r="B26" s="116" t="s">
        <v>50</v>
      </c>
      <c r="C26" s="116" t="s">
        <v>132</v>
      </c>
      <c r="D26" s="116">
        <v>4.2999999999999997E-2</v>
      </c>
    </row>
    <row r="27" spans="1:4" x14ac:dyDescent="0.35">
      <c r="A27" s="116" t="s">
        <v>91</v>
      </c>
      <c r="B27" s="116" t="s">
        <v>50</v>
      </c>
      <c r="C27" s="116" t="s">
        <v>132</v>
      </c>
      <c r="D27" s="116">
        <v>5.0999999999999997E-2</v>
      </c>
    </row>
    <row r="28" spans="1:4" x14ac:dyDescent="0.35">
      <c r="A28" s="116" t="s">
        <v>93</v>
      </c>
      <c r="B28" s="116" t="s">
        <v>50</v>
      </c>
      <c r="C28" s="116" t="s">
        <v>132</v>
      </c>
      <c r="D28" s="116">
        <v>6.8000000000000005E-2</v>
      </c>
    </row>
    <row r="29" spans="1:4" x14ac:dyDescent="0.35">
      <c r="A29" s="116" t="s">
        <v>95</v>
      </c>
      <c r="B29" s="116" t="s">
        <v>50</v>
      </c>
      <c r="C29" s="116" t="s">
        <v>132</v>
      </c>
      <c r="D29" s="116">
        <v>7.6999999999999999E-2</v>
      </c>
    </row>
    <row r="30" spans="1:4" x14ac:dyDescent="0.35">
      <c r="A30" s="116" t="s">
        <v>96</v>
      </c>
      <c r="B30" s="116" t="s">
        <v>50</v>
      </c>
      <c r="C30" s="116" t="s">
        <v>132</v>
      </c>
      <c r="D30" s="116">
        <v>8.5000000000000006E-2</v>
      </c>
    </row>
    <row r="31" spans="1:4" x14ac:dyDescent="0.35">
      <c r="A31" s="116" t="s">
        <v>97</v>
      </c>
      <c r="B31" s="116" t="s">
        <v>50</v>
      </c>
      <c r="C31" s="116" t="s">
        <v>132</v>
      </c>
      <c r="D31" s="116">
        <v>0.128</v>
      </c>
    </row>
    <row r="32" spans="1:4" x14ac:dyDescent="0.35">
      <c r="A32" s="116" t="s">
        <v>99</v>
      </c>
      <c r="B32" s="116" t="s">
        <v>50</v>
      </c>
      <c r="C32" s="116" t="s">
        <v>132</v>
      </c>
      <c r="D32" s="116">
        <v>0.19600000000000001</v>
      </c>
    </row>
    <row r="33" spans="1:4" x14ac:dyDescent="0.35">
      <c r="A33" s="116" t="s">
        <v>100</v>
      </c>
      <c r="B33" s="116" t="s">
        <v>50</v>
      </c>
      <c r="C33" s="116" t="s">
        <v>132</v>
      </c>
      <c r="D33" s="116">
        <v>0.36599999999999999</v>
      </c>
    </row>
    <row r="34" spans="1:4" x14ac:dyDescent="0.35">
      <c r="A34" s="116" t="s">
        <v>102</v>
      </c>
      <c r="B34" s="116" t="s">
        <v>50</v>
      </c>
      <c r="C34" s="116" t="s">
        <v>132</v>
      </c>
      <c r="D34" s="116">
        <v>0.56100000000000005</v>
      </c>
    </row>
    <row r="35" spans="1:4" x14ac:dyDescent="0.35">
      <c r="A35" s="116" t="s">
        <v>103</v>
      </c>
      <c r="B35" s="116" t="s">
        <v>50</v>
      </c>
      <c r="C35" s="116" t="s">
        <v>132</v>
      </c>
      <c r="D35" s="116">
        <v>1.08</v>
      </c>
    </row>
    <row r="36" spans="1:4" x14ac:dyDescent="0.35">
      <c r="A36" s="116" t="s">
        <v>105</v>
      </c>
      <c r="B36" s="116" t="s">
        <v>50</v>
      </c>
      <c r="C36" s="116" t="s">
        <v>132</v>
      </c>
      <c r="D36" s="116">
        <v>1.7509999999999999</v>
      </c>
    </row>
    <row r="37" spans="1:4" x14ac:dyDescent="0.35">
      <c r="A37" s="116" t="s">
        <v>106</v>
      </c>
      <c r="B37" s="116" t="s">
        <v>50</v>
      </c>
      <c r="C37" s="116" t="s">
        <v>132</v>
      </c>
      <c r="D37" s="116">
        <v>1.7509999999999999</v>
      </c>
    </row>
    <row r="38" spans="1:4" x14ac:dyDescent="0.35">
      <c r="A38" t="s">
        <v>4</v>
      </c>
      <c r="B38" t="s">
        <v>50</v>
      </c>
      <c r="C38" t="s">
        <v>134</v>
      </c>
      <c r="D38">
        <v>5.0999999999999997E-2</v>
      </c>
    </row>
    <row r="39" spans="1:4" x14ac:dyDescent="0.35">
      <c r="A39" t="s">
        <v>91</v>
      </c>
      <c r="B39" t="s">
        <v>50</v>
      </c>
      <c r="C39" t="s">
        <v>134</v>
      </c>
      <c r="D39">
        <v>6.0999999999999999E-2</v>
      </c>
    </row>
    <row r="40" spans="1:4" x14ac:dyDescent="0.35">
      <c r="A40" t="s">
        <v>93</v>
      </c>
      <c r="B40" t="s">
        <v>50</v>
      </c>
      <c r="C40" t="s">
        <v>134</v>
      </c>
      <c r="D40">
        <v>8.2000000000000003E-2</v>
      </c>
    </row>
    <row r="41" spans="1:4" x14ac:dyDescent="0.35">
      <c r="A41" t="s">
        <v>95</v>
      </c>
      <c r="B41" t="s">
        <v>50</v>
      </c>
      <c r="C41" t="s">
        <v>134</v>
      </c>
      <c r="D41">
        <v>9.1999999999999998E-2</v>
      </c>
    </row>
    <row r="42" spans="1:4" x14ac:dyDescent="0.35">
      <c r="A42" t="s">
        <v>96</v>
      </c>
      <c r="B42" t="s">
        <v>50</v>
      </c>
      <c r="C42" t="s">
        <v>134</v>
      </c>
      <c r="D42">
        <v>0.10199999999999999</v>
      </c>
    </row>
    <row r="43" spans="1:4" x14ac:dyDescent="0.35">
      <c r="A43" t="s">
        <v>97</v>
      </c>
      <c r="B43" t="s">
        <v>50</v>
      </c>
      <c r="C43" t="s">
        <v>134</v>
      </c>
      <c r="D43">
        <v>0.153</v>
      </c>
    </row>
    <row r="44" spans="1:4" x14ac:dyDescent="0.35">
      <c r="A44" t="s">
        <v>99</v>
      </c>
      <c r="B44" t="s">
        <v>50</v>
      </c>
      <c r="C44" t="s">
        <v>134</v>
      </c>
      <c r="D44">
        <v>0.23499999999999999</v>
      </c>
    </row>
    <row r="45" spans="1:4" x14ac:dyDescent="0.35">
      <c r="A45" t="s">
        <v>100</v>
      </c>
      <c r="B45" t="s">
        <v>50</v>
      </c>
      <c r="C45" t="s">
        <v>134</v>
      </c>
      <c r="D45">
        <v>0.439</v>
      </c>
    </row>
    <row r="46" spans="1:4" x14ac:dyDescent="0.35">
      <c r="A46" t="s">
        <v>102</v>
      </c>
      <c r="B46" t="s">
        <v>50</v>
      </c>
      <c r="C46" t="s">
        <v>134</v>
      </c>
      <c r="D46">
        <v>0.67300000000000004</v>
      </c>
    </row>
    <row r="47" spans="1:4" x14ac:dyDescent="0.35">
      <c r="A47" t="s">
        <v>103</v>
      </c>
      <c r="B47" t="s">
        <v>50</v>
      </c>
      <c r="C47" t="s">
        <v>134</v>
      </c>
      <c r="D47">
        <v>1.2949999999999999</v>
      </c>
    </row>
    <row r="48" spans="1:4" x14ac:dyDescent="0.35">
      <c r="A48" t="s">
        <v>105</v>
      </c>
      <c r="B48" t="s">
        <v>50</v>
      </c>
      <c r="C48" t="s">
        <v>134</v>
      </c>
      <c r="D48">
        <v>2.101</v>
      </c>
    </row>
    <row r="49" spans="1:4" x14ac:dyDescent="0.35">
      <c r="A49" t="s">
        <v>106</v>
      </c>
      <c r="B49" t="s">
        <v>50</v>
      </c>
      <c r="C49" t="s">
        <v>134</v>
      </c>
      <c r="D49">
        <v>2.101</v>
      </c>
    </row>
  </sheetData>
  <autoFilter ref="A1:D49" xr:uid="{00000000-0009-0000-0000-000006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-0.249977111117893"/>
  </sheetPr>
  <dimension ref="A1:D9"/>
  <sheetViews>
    <sheetView workbookViewId="0">
      <selection activeCell="D2" sqref="D2"/>
    </sheetView>
  </sheetViews>
  <sheetFormatPr defaultRowHeight="14.5" x14ac:dyDescent="0.35"/>
  <cols>
    <col min="1" max="1" width="11.7265625" bestFit="1" customWidth="1"/>
    <col min="2" max="2" width="20" bestFit="1" customWidth="1"/>
    <col min="4" max="4" width="33.453125" customWidth="1"/>
  </cols>
  <sheetData>
    <row r="1" spans="1:4" x14ac:dyDescent="0.35">
      <c r="A1" s="117" t="s">
        <v>30</v>
      </c>
      <c r="B1" s="117" t="s">
        <v>32</v>
      </c>
      <c r="C1" s="117" t="s">
        <v>25</v>
      </c>
      <c r="D1" s="117" t="s">
        <v>139</v>
      </c>
    </row>
    <row r="2" spans="1:4" x14ac:dyDescent="0.35">
      <c r="A2" t="s">
        <v>38</v>
      </c>
      <c r="B2" t="s">
        <v>33</v>
      </c>
      <c r="C2">
        <v>21.72</v>
      </c>
    </row>
    <row r="3" spans="1:4" x14ac:dyDescent="0.35">
      <c r="A3" t="s">
        <v>38</v>
      </c>
      <c r="B3" t="s">
        <v>113</v>
      </c>
      <c r="C3">
        <v>38.6</v>
      </c>
    </row>
    <row r="4" spans="1:4" x14ac:dyDescent="0.35">
      <c r="A4" t="s">
        <v>38</v>
      </c>
      <c r="B4" t="s">
        <v>114</v>
      </c>
      <c r="C4">
        <v>38.9</v>
      </c>
    </row>
    <row r="5" spans="1:4" x14ac:dyDescent="0.35">
      <c r="A5" t="s">
        <v>38</v>
      </c>
      <c r="B5" t="s">
        <v>63</v>
      </c>
      <c r="C5">
        <v>60.42</v>
      </c>
    </row>
    <row r="6" spans="1:4" x14ac:dyDescent="0.35">
      <c r="A6" s="116" t="s">
        <v>101</v>
      </c>
      <c r="B6" s="116" t="s">
        <v>33</v>
      </c>
      <c r="C6" s="116">
        <v>32.54</v>
      </c>
    </row>
    <row r="7" spans="1:4" x14ac:dyDescent="0.35">
      <c r="A7" s="116" t="s">
        <v>101</v>
      </c>
      <c r="B7" s="116" t="s">
        <v>113</v>
      </c>
      <c r="C7" s="116">
        <v>65.040000000000006</v>
      </c>
    </row>
    <row r="8" spans="1:4" x14ac:dyDescent="0.35">
      <c r="A8" s="116" t="s">
        <v>101</v>
      </c>
      <c r="B8" s="116" t="s">
        <v>114</v>
      </c>
      <c r="C8" s="116">
        <v>68.3</v>
      </c>
    </row>
    <row r="9" spans="1:4" x14ac:dyDescent="0.35">
      <c r="A9" s="116" t="s">
        <v>101</v>
      </c>
      <c r="B9" s="116" t="s">
        <v>63</v>
      </c>
      <c r="C9" s="116">
        <v>104.06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-0.249977111117893"/>
  </sheetPr>
  <dimension ref="A1:D5"/>
  <sheetViews>
    <sheetView workbookViewId="0">
      <selection activeCell="D5" sqref="D5"/>
    </sheetView>
  </sheetViews>
  <sheetFormatPr defaultRowHeight="14.5" x14ac:dyDescent="0.35"/>
  <cols>
    <col min="1" max="1" width="14.7265625" bestFit="1" customWidth="1"/>
    <col min="2" max="2" width="20" bestFit="1" customWidth="1"/>
    <col min="4" max="4" width="26.54296875" bestFit="1" customWidth="1"/>
  </cols>
  <sheetData>
    <row r="1" spans="1:4" x14ac:dyDescent="0.35">
      <c r="A1" s="117" t="s">
        <v>30</v>
      </c>
      <c r="B1" s="117" t="s">
        <v>32</v>
      </c>
      <c r="C1" s="117"/>
      <c r="D1" s="117" t="s">
        <v>139</v>
      </c>
    </row>
    <row r="2" spans="1:4" x14ac:dyDescent="0.35">
      <c r="A2" t="s">
        <v>40</v>
      </c>
      <c r="B2" t="s">
        <v>33</v>
      </c>
      <c r="C2">
        <v>8.36</v>
      </c>
    </row>
    <row r="3" spans="1:4" x14ac:dyDescent="0.35">
      <c r="A3" t="s">
        <v>40</v>
      </c>
      <c r="B3" t="s">
        <v>113</v>
      </c>
      <c r="C3">
        <v>17.72</v>
      </c>
    </row>
    <row r="4" spans="1:4" x14ac:dyDescent="0.35">
      <c r="A4" t="s">
        <v>40</v>
      </c>
      <c r="B4" t="s">
        <v>114</v>
      </c>
      <c r="C4">
        <v>13.7</v>
      </c>
    </row>
    <row r="5" spans="1:4" x14ac:dyDescent="0.35">
      <c r="A5" t="s">
        <v>40</v>
      </c>
      <c r="B5" t="s">
        <v>63</v>
      </c>
      <c r="C5">
        <v>24.44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-0.249977111117893"/>
  </sheetPr>
  <dimension ref="A1:E17"/>
  <sheetViews>
    <sheetView workbookViewId="0">
      <selection sqref="A1:E1"/>
    </sheetView>
  </sheetViews>
  <sheetFormatPr defaultRowHeight="14.5" x14ac:dyDescent="0.35"/>
  <cols>
    <col min="1" max="1" width="10.1796875" customWidth="1"/>
    <col min="2" max="2" width="13.453125" customWidth="1"/>
    <col min="3" max="3" width="23.54296875" customWidth="1"/>
    <col min="4" max="4" width="26.26953125" bestFit="1" customWidth="1"/>
    <col min="5" max="5" width="20.7265625" customWidth="1"/>
  </cols>
  <sheetData>
    <row r="1" spans="1:5" x14ac:dyDescent="0.35">
      <c r="A1" s="117" t="s">
        <v>135</v>
      </c>
      <c r="B1" s="117" t="s">
        <v>136</v>
      </c>
      <c r="C1" s="117" t="s">
        <v>137</v>
      </c>
      <c r="D1" s="117"/>
      <c r="E1" s="117" t="s">
        <v>138</v>
      </c>
    </row>
    <row r="2" spans="1:5" x14ac:dyDescent="0.35">
      <c r="A2" t="s">
        <v>13</v>
      </c>
      <c r="B2" t="s">
        <v>19</v>
      </c>
      <c r="C2" t="s">
        <v>33</v>
      </c>
      <c r="D2" t="str">
        <f t="shared" ref="D2:D17" si="0">CONCATENATE(A2,B2,C2)</f>
        <v>NoYesEmployee Only</v>
      </c>
      <c r="E2">
        <v>30</v>
      </c>
    </row>
    <row r="3" spans="1:5" x14ac:dyDescent="0.35">
      <c r="A3" t="s">
        <v>13</v>
      </c>
      <c r="B3" t="s">
        <v>19</v>
      </c>
      <c r="C3" t="s">
        <v>113</v>
      </c>
      <c r="D3" t="str">
        <f t="shared" si="0"/>
        <v>NoYesEmployee &amp; Spouse</v>
      </c>
      <c r="E3">
        <v>30</v>
      </c>
    </row>
    <row r="4" spans="1:5" x14ac:dyDescent="0.35">
      <c r="A4" t="s">
        <v>13</v>
      </c>
      <c r="B4" t="s">
        <v>19</v>
      </c>
      <c r="C4" t="s">
        <v>114</v>
      </c>
      <c r="D4" t="str">
        <f t="shared" si="0"/>
        <v>NoYesEmployee &amp; Children</v>
      </c>
      <c r="E4">
        <v>30</v>
      </c>
    </row>
    <row r="5" spans="1:5" x14ac:dyDescent="0.35">
      <c r="A5" t="s">
        <v>13</v>
      </c>
      <c r="B5" t="s">
        <v>19</v>
      </c>
      <c r="C5" t="s">
        <v>63</v>
      </c>
      <c r="D5" t="str">
        <f t="shared" si="0"/>
        <v>NoYesEmployee &amp; Family</v>
      </c>
      <c r="E5">
        <v>30</v>
      </c>
    </row>
    <row r="6" spans="1:5" x14ac:dyDescent="0.35">
      <c r="A6" s="116" t="s">
        <v>13</v>
      </c>
      <c r="B6" s="116" t="s">
        <v>13</v>
      </c>
      <c r="C6" s="116" t="s">
        <v>33</v>
      </c>
      <c r="D6" s="116" t="str">
        <f t="shared" si="0"/>
        <v>NoNoEmployee Only</v>
      </c>
      <c r="E6" s="116">
        <v>30</v>
      </c>
    </row>
    <row r="7" spans="1:5" x14ac:dyDescent="0.35">
      <c r="A7" s="116" t="s">
        <v>13</v>
      </c>
      <c r="B7" s="116" t="s">
        <v>13</v>
      </c>
      <c r="C7" s="116" t="s">
        <v>113</v>
      </c>
      <c r="D7" s="116" t="str">
        <f t="shared" si="0"/>
        <v>NoNoEmployee &amp; Spouse</v>
      </c>
      <c r="E7" s="116">
        <v>60</v>
      </c>
    </row>
    <row r="8" spans="1:5" x14ac:dyDescent="0.35">
      <c r="A8" s="116" t="s">
        <v>13</v>
      </c>
      <c r="B8" s="116" t="s">
        <v>13</v>
      </c>
      <c r="C8" s="116" t="s">
        <v>114</v>
      </c>
      <c r="D8" s="116" t="str">
        <f t="shared" si="0"/>
        <v>NoNoEmployee &amp; Children</v>
      </c>
      <c r="E8" s="116">
        <v>30</v>
      </c>
    </row>
    <row r="9" spans="1:5" x14ac:dyDescent="0.35">
      <c r="A9" s="116" t="s">
        <v>13</v>
      </c>
      <c r="B9" s="116" t="s">
        <v>13</v>
      </c>
      <c r="C9" s="116" t="s">
        <v>63</v>
      </c>
      <c r="D9" s="116" t="str">
        <f t="shared" si="0"/>
        <v>NoNoEmployee &amp; Family</v>
      </c>
      <c r="E9" s="116">
        <v>60</v>
      </c>
    </row>
    <row r="10" spans="1:5" x14ac:dyDescent="0.35">
      <c r="A10" t="s">
        <v>19</v>
      </c>
      <c r="B10" t="s">
        <v>13</v>
      </c>
      <c r="C10" t="s">
        <v>33</v>
      </c>
      <c r="D10" t="str">
        <f t="shared" si="0"/>
        <v>YesNoEmployee Only</v>
      </c>
      <c r="E10">
        <v>0</v>
      </c>
    </row>
    <row r="11" spans="1:5" x14ac:dyDescent="0.35">
      <c r="A11" t="s">
        <v>19</v>
      </c>
      <c r="B11" t="s">
        <v>13</v>
      </c>
      <c r="C11" t="s">
        <v>113</v>
      </c>
      <c r="D11" t="str">
        <f t="shared" si="0"/>
        <v>YesNoEmployee &amp; Spouse</v>
      </c>
      <c r="E11">
        <v>30</v>
      </c>
    </row>
    <row r="12" spans="1:5" x14ac:dyDescent="0.35">
      <c r="A12" t="s">
        <v>19</v>
      </c>
      <c r="B12" t="s">
        <v>13</v>
      </c>
      <c r="C12" t="s">
        <v>114</v>
      </c>
      <c r="D12" t="str">
        <f t="shared" si="0"/>
        <v>YesNoEmployee &amp; Children</v>
      </c>
      <c r="E12">
        <v>0</v>
      </c>
    </row>
    <row r="13" spans="1:5" x14ac:dyDescent="0.35">
      <c r="A13" t="s">
        <v>19</v>
      </c>
      <c r="B13" t="s">
        <v>13</v>
      </c>
      <c r="C13" t="s">
        <v>63</v>
      </c>
      <c r="D13" t="str">
        <f t="shared" si="0"/>
        <v>YesNoEmployee &amp; Family</v>
      </c>
      <c r="E13">
        <v>30</v>
      </c>
    </row>
    <row r="14" spans="1:5" x14ac:dyDescent="0.35">
      <c r="A14" s="116" t="s">
        <v>19</v>
      </c>
      <c r="B14" s="116" t="s">
        <v>19</v>
      </c>
      <c r="C14" s="116" t="s">
        <v>33</v>
      </c>
      <c r="D14" s="116" t="str">
        <f t="shared" si="0"/>
        <v>YesYesEmployee Only</v>
      </c>
      <c r="E14" s="116">
        <v>0</v>
      </c>
    </row>
    <row r="15" spans="1:5" x14ac:dyDescent="0.35">
      <c r="A15" s="116" t="s">
        <v>19</v>
      </c>
      <c r="B15" s="116" t="s">
        <v>19</v>
      </c>
      <c r="C15" s="116" t="s">
        <v>113</v>
      </c>
      <c r="D15" s="116" t="str">
        <f t="shared" si="0"/>
        <v>YesYesEmployee &amp; Spouse</v>
      </c>
      <c r="E15" s="116">
        <v>0</v>
      </c>
    </row>
    <row r="16" spans="1:5" x14ac:dyDescent="0.35">
      <c r="A16" s="116" t="s">
        <v>19</v>
      </c>
      <c r="B16" s="116" t="s">
        <v>19</v>
      </c>
      <c r="C16" s="116" t="s">
        <v>114</v>
      </c>
      <c r="D16" s="116" t="str">
        <f t="shared" si="0"/>
        <v>YesYesEmployee &amp; Children</v>
      </c>
      <c r="E16" s="116">
        <v>0</v>
      </c>
    </row>
    <row r="17" spans="1:5" x14ac:dyDescent="0.35">
      <c r="A17" s="116" t="s">
        <v>19</v>
      </c>
      <c r="B17" s="116" t="s">
        <v>19</v>
      </c>
      <c r="C17" s="116" t="s">
        <v>63</v>
      </c>
      <c r="D17" s="116" t="str">
        <f t="shared" si="0"/>
        <v>YesYesEmployee &amp; Family</v>
      </c>
      <c r="E17" s="116">
        <v>0</v>
      </c>
    </row>
  </sheetData>
  <autoFilter ref="A1:E17" xr:uid="{00000000-0009-0000-0000-000009000000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0.39997558519241921"/>
  </sheetPr>
  <dimension ref="A1:D5"/>
  <sheetViews>
    <sheetView workbookViewId="0">
      <selection activeCell="D2" sqref="D2"/>
    </sheetView>
  </sheetViews>
  <sheetFormatPr defaultRowHeight="14.5" x14ac:dyDescent="0.35"/>
  <cols>
    <col min="1" max="1" width="9.453125" customWidth="1"/>
    <col min="2" max="2" width="12.81640625" customWidth="1"/>
    <col min="4" max="4" width="26.54296875" bestFit="1" customWidth="1"/>
  </cols>
  <sheetData>
    <row r="1" spans="1:4" x14ac:dyDescent="0.35">
      <c r="A1" t="s">
        <v>140</v>
      </c>
      <c r="B1" t="s">
        <v>48</v>
      </c>
      <c r="D1" t="s">
        <v>139</v>
      </c>
    </row>
    <row r="2" spans="1:4" x14ac:dyDescent="0.35">
      <c r="A2" t="s">
        <v>19</v>
      </c>
      <c r="B2" t="s">
        <v>49</v>
      </c>
      <c r="C2">
        <v>0.28000000000000003</v>
      </c>
    </row>
    <row r="3" spans="1:4" x14ac:dyDescent="0.35">
      <c r="A3" t="s">
        <v>19</v>
      </c>
      <c r="B3" t="s">
        <v>115</v>
      </c>
      <c r="C3">
        <v>0.46</v>
      </c>
    </row>
    <row r="4" spans="1:4" x14ac:dyDescent="0.35">
      <c r="A4" t="s">
        <v>13</v>
      </c>
      <c r="B4" t="s">
        <v>49</v>
      </c>
      <c r="C4">
        <v>0.1</v>
      </c>
    </row>
    <row r="5" spans="1:4" x14ac:dyDescent="0.35">
      <c r="A5" t="s">
        <v>13</v>
      </c>
      <c r="B5" t="s">
        <v>115</v>
      </c>
      <c r="C5">
        <v>0.24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-0.499984740745262"/>
  </sheetPr>
  <dimension ref="A1:C3"/>
  <sheetViews>
    <sheetView workbookViewId="0">
      <selection activeCell="C2" sqref="C2"/>
    </sheetView>
  </sheetViews>
  <sheetFormatPr defaultRowHeight="14.5" x14ac:dyDescent="0.35"/>
  <cols>
    <col min="3" max="3" width="26.54296875" bestFit="1" customWidth="1"/>
  </cols>
  <sheetData>
    <row r="1" spans="1:3" x14ac:dyDescent="0.35">
      <c r="A1" t="s">
        <v>128</v>
      </c>
      <c r="C1" t="s">
        <v>139</v>
      </c>
    </row>
    <row r="2" spans="1:3" x14ac:dyDescent="0.35">
      <c r="A2" t="s">
        <v>19</v>
      </c>
      <c r="B2">
        <v>0.23</v>
      </c>
    </row>
    <row r="3" spans="1:3" x14ac:dyDescent="0.35">
      <c r="A3" t="s">
        <v>13</v>
      </c>
      <c r="B3">
        <v>0.17799999999999999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-0.249977111117893"/>
  </sheetPr>
  <dimension ref="A1:K10"/>
  <sheetViews>
    <sheetView zoomScale="115" zoomScaleNormal="115" workbookViewId="0">
      <selection activeCell="F3" sqref="F3"/>
    </sheetView>
  </sheetViews>
  <sheetFormatPr defaultRowHeight="14.5" x14ac:dyDescent="0.35"/>
  <cols>
    <col min="1" max="1" width="26.26953125" bestFit="1" customWidth="1"/>
    <col min="2" max="2" width="17.81640625" customWidth="1"/>
    <col min="3" max="3" width="16.54296875" customWidth="1"/>
    <col min="4" max="4" width="15" customWidth="1"/>
    <col min="5" max="5" width="16.453125" customWidth="1"/>
    <col min="6" max="6" width="17.81640625" customWidth="1"/>
    <col min="7" max="8" width="16.453125" customWidth="1"/>
    <col min="9" max="9" width="27.81640625" customWidth="1"/>
    <col min="10" max="10" width="18" customWidth="1"/>
  </cols>
  <sheetData>
    <row r="1" spans="1:11" x14ac:dyDescent="0.35">
      <c r="A1" s="117"/>
      <c r="B1" s="117" t="s">
        <v>141</v>
      </c>
      <c r="C1" s="117" t="s">
        <v>142</v>
      </c>
      <c r="D1" s="117" t="s">
        <v>6</v>
      </c>
      <c r="E1" s="117" t="s">
        <v>143</v>
      </c>
      <c r="F1" s="117" t="s">
        <v>144</v>
      </c>
      <c r="G1" s="117" t="s">
        <v>145</v>
      </c>
      <c r="H1" s="117" t="s">
        <v>146</v>
      </c>
      <c r="I1" s="117" t="s">
        <v>139</v>
      </c>
    </row>
    <row r="2" spans="1:11" x14ac:dyDescent="0.35">
      <c r="A2" s="55" t="s">
        <v>51</v>
      </c>
      <c r="B2" s="55"/>
      <c r="C2" s="55"/>
      <c r="D2" s="55"/>
      <c r="E2" s="55"/>
      <c r="F2" s="118"/>
      <c r="G2" s="55">
        <f>G3+G4</f>
        <v>0.57000000000000006</v>
      </c>
      <c r="H2" s="55">
        <f>H3+H4</f>
        <v>0.57000000000000006</v>
      </c>
      <c r="J2" s="31"/>
      <c r="K2" s="31"/>
    </row>
    <row r="3" spans="1:11" x14ac:dyDescent="0.35">
      <c r="A3" s="95" t="s">
        <v>117</v>
      </c>
      <c r="B3" s="95">
        <f>'Before Change'!D42</f>
        <v>0</v>
      </c>
      <c r="C3" s="95">
        <f>'After Change'!D42</f>
        <v>0</v>
      </c>
      <c r="D3" s="95" t="str">
        <f>'Before Change'!D4</f>
        <v>Under 25</v>
      </c>
      <c r="E3" s="95" t="str">
        <f>IF('Before Change'!D9="No","Non-Tobacco User","Tobacco User")</f>
        <v>Non-Tobacco User</v>
      </c>
      <c r="F3" s="95" cm="1">
        <f t="array" ref="F3">INDEX(Life!D26:D50,MATCH(1,(D3=Life!A26:A50)*(E3=Life!C26:C50),0))</f>
        <v>4.2999999999999997E-2</v>
      </c>
      <c r="G3" s="95">
        <f>(B3/1000)*F3</f>
        <v>0</v>
      </c>
      <c r="H3" s="95">
        <f>(C3/1000)*F3</f>
        <v>0</v>
      </c>
    </row>
    <row r="4" spans="1:11" x14ac:dyDescent="0.35">
      <c r="A4" s="95" t="s">
        <v>118</v>
      </c>
      <c r="B4" s="95">
        <v>10000</v>
      </c>
      <c r="C4" s="95">
        <v>10000</v>
      </c>
      <c r="D4" s="95"/>
      <c r="E4" s="95"/>
      <c r="F4" s="95">
        <v>5.7000000000000002E-2</v>
      </c>
      <c r="G4" s="95">
        <f>(B4/1000)*F4</f>
        <v>0.57000000000000006</v>
      </c>
      <c r="H4" s="95">
        <f>(C4/1000)*F4</f>
        <v>0.57000000000000006</v>
      </c>
    </row>
    <row r="5" spans="1:11" x14ac:dyDescent="0.35">
      <c r="A5" s="52" t="s">
        <v>119</v>
      </c>
      <c r="B5" s="52"/>
      <c r="C5" s="52"/>
      <c r="D5" s="52"/>
      <c r="E5" s="52"/>
      <c r="F5" s="120"/>
      <c r="G5" s="52">
        <f>G6+G7</f>
        <v>1.29</v>
      </c>
      <c r="H5" s="52">
        <f>H6+H7</f>
        <v>1.29</v>
      </c>
    </row>
    <row r="6" spans="1:11" x14ac:dyDescent="0.35">
      <c r="A6" s="27" t="s">
        <v>120</v>
      </c>
      <c r="B6" s="27">
        <v>5000</v>
      </c>
      <c r="C6" s="27">
        <v>5000</v>
      </c>
      <c r="D6" s="27"/>
      <c r="E6" s="27"/>
      <c r="F6" s="27">
        <v>0.99</v>
      </c>
      <c r="G6" s="27">
        <v>0.99</v>
      </c>
      <c r="H6" s="27">
        <v>0.99</v>
      </c>
    </row>
    <row r="7" spans="1:11" x14ac:dyDescent="0.35">
      <c r="A7" s="27" t="s">
        <v>121</v>
      </c>
      <c r="B7" s="27">
        <v>5000</v>
      </c>
      <c r="C7" s="27">
        <v>5000</v>
      </c>
      <c r="D7" s="27"/>
      <c r="E7" s="27"/>
      <c r="F7" s="27">
        <v>0.3</v>
      </c>
      <c r="G7" s="27">
        <v>0.3</v>
      </c>
      <c r="H7" s="27">
        <v>0.3</v>
      </c>
    </row>
    <row r="8" spans="1:11" x14ac:dyDescent="0.35">
      <c r="A8" s="49" t="s">
        <v>123</v>
      </c>
      <c r="B8" s="49"/>
      <c r="C8" s="49"/>
      <c r="D8" s="49"/>
      <c r="E8" s="49"/>
      <c r="F8" s="119"/>
      <c r="G8" s="49">
        <f>G9+G10</f>
        <v>0.35000000000000003</v>
      </c>
      <c r="H8" s="49">
        <f>H9+H10</f>
        <v>0.35000000000000003</v>
      </c>
    </row>
    <row r="9" spans="1:11" x14ac:dyDescent="0.35">
      <c r="A9" s="89" t="s">
        <v>122</v>
      </c>
      <c r="B9" s="89">
        <v>5000</v>
      </c>
      <c r="C9" s="89">
        <v>5000</v>
      </c>
      <c r="D9" s="89"/>
      <c r="E9" s="89"/>
      <c r="F9" s="89">
        <v>7.0000000000000001E-3</v>
      </c>
      <c r="G9" s="89">
        <f>(B9/100)*F9</f>
        <v>0.35000000000000003</v>
      </c>
      <c r="H9" s="89">
        <f>(C9/100)*F9</f>
        <v>0.35000000000000003</v>
      </c>
    </row>
    <row r="10" spans="1:11" x14ac:dyDescent="0.35">
      <c r="A10" s="89" t="s">
        <v>147</v>
      </c>
      <c r="B10" s="89">
        <f>'Before Change'!D42</f>
        <v>0</v>
      </c>
      <c r="C10" s="89">
        <f>'After Change'!D42</f>
        <v>0</v>
      </c>
      <c r="D10" s="89"/>
      <c r="E10" s="89"/>
      <c r="F10" s="89">
        <v>7.0000000000000007E-2</v>
      </c>
      <c r="G10" s="89">
        <f>(B10/100)*F10</f>
        <v>0</v>
      </c>
      <c r="H10" s="89">
        <f>(C10/100)*F10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Before Change</vt:lpstr>
      <vt:lpstr>After Change</vt:lpstr>
      <vt:lpstr>Balance Calculator</vt:lpstr>
      <vt:lpstr>Validation</vt:lpstr>
      <vt:lpstr>Medical</vt:lpstr>
      <vt:lpstr>Tobacco</vt:lpstr>
      <vt:lpstr>Life</vt:lpstr>
      <vt:lpstr>Dental</vt:lpstr>
      <vt:lpstr>Vision</vt:lpstr>
      <vt:lpstr>Wellness</vt:lpstr>
      <vt:lpstr>ADD</vt:lpstr>
      <vt:lpstr>LTD</vt:lpstr>
      <vt:lpstr>DL</vt:lpstr>
      <vt:lpstr>ADD</vt:lpstr>
      <vt:lpstr>ADDLVL</vt:lpstr>
      <vt:lpstr>ADDLVLS</vt:lpstr>
      <vt:lpstr>Age</vt:lpstr>
      <vt:lpstr>Dental</vt:lpstr>
      <vt:lpstr>DL</vt:lpstr>
      <vt:lpstr>Medical</vt:lpstr>
      <vt:lpstr>Multiplier</vt:lpstr>
      <vt:lpstr>SGIP</vt:lpstr>
      <vt:lpstr>SPLFA</vt:lpstr>
      <vt:lpstr>Target</vt:lpstr>
      <vt:lpstr>Vision</vt:lpstr>
      <vt:lpstr>well</vt:lpstr>
    </vt:vector>
  </TitlesOfParts>
  <Manager/>
  <Company>TAMUS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Fox, Meredith</dc:creator>
  <cp:keywords/>
  <dc:description/>
  <cp:lastModifiedBy>Felan, Estela</cp:lastModifiedBy>
  <cp:revision/>
  <dcterms:created xsi:type="dcterms:W3CDTF">2019-06-06T21:16:16Z</dcterms:created>
  <dcterms:modified xsi:type="dcterms:W3CDTF">2026-09-01T14:52:58Z</dcterms:modified>
  <cp:category/>
  <cp:contentStatus/>
</cp:coreProperties>
</file>